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225" windowHeight="7515" activeTab="3"/>
  </bookViews>
  <sheets>
    <sheet name="Costo Personal" sheetId="1" r:id="rId1"/>
    <sheet name="Estimacion Costos" sheetId="8" r:id="rId2"/>
    <sheet name="Proyección del Costo Total" sheetId="4" r:id="rId3"/>
    <sheet name="Valuacion" sheetId="5" r:id="rId4"/>
  </sheets>
  <calcPr calcId="145621"/>
</workbook>
</file>

<file path=xl/calcChain.xml><?xml version="1.0" encoding="utf-8"?>
<calcChain xmlns="http://schemas.openxmlformats.org/spreadsheetml/2006/main">
  <c r="B91" i="5" l="1"/>
  <c r="E2" i="5"/>
  <c r="C46" i="4" l="1"/>
  <c r="D46" i="4" s="1"/>
  <c r="E46" i="4" s="1"/>
  <c r="F46" i="4" s="1"/>
  <c r="G46" i="4" s="1"/>
  <c r="H46" i="4" s="1"/>
  <c r="I46" i="4" s="1"/>
  <c r="J46" i="4" s="1"/>
  <c r="K46" i="4" s="1"/>
  <c r="L46" i="4" s="1"/>
  <c r="M46" i="4" s="1"/>
  <c r="N46" i="4" s="1"/>
  <c r="O46" i="4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L53" i="5" l="1"/>
  <c r="H53" i="5"/>
  <c r="D53" i="5"/>
  <c r="H29" i="4" l="1"/>
  <c r="H28" i="4"/>
  <c r="G29" i="4"/>
  <c r="G28" i="4"/>
  <c r="F29" i="4"/>
  <c r="F28" i="4"/>
  <c r="E29" i="4"/>
  <c r="E28" i="4"/>
  <c r="D28" i="4"/>
  <c r="C29" i="4"/>
  <c r="C28" i="4"/>
  <c r="H25" i="4"/>
  <c r="G25" i="4"/>
  <c r="F25" i="4"/>
  <c r="E25" i="4"/>
  <c r="D25" i="4"/>
  <c r="H24" i="4"/>
  <c r="G24" i="4"/>
  <c r="F24" i="4"/>
  <c r="E24" i="4"/>
  <c r="D24" i="4"/>
  <c r="C71" i="8"/>
  <c r="V66" i="8"/>
  <c r="S66" i="8"/>
  <c r="P66" i="8"/>
  <c r="M66" i="8"/>
  <c r="G66" i="8"/>
  <c r="U66" i="8"/>
  <c r="R66" i="8"/>
  <c r="O66" i="8"/>
  <c r="L66" i="8"/>
  <c r="I66" i="8"/>
  <c r="F66" i="8"/>
  <c r="T66" i="8"/>
  <c r="Q66" i="8"/>
  <c r="N66" i="8"/>
  <c r="K66" i="8"/>
  <c r="H66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J66" i="8" s="1"/>
  <c r="I65" i="8"/>
  <c r="H65" i="8"/>
  <c r="G65" i="8"/>
  <c r="F65" i="8"/>
  <c r="E65" i="8"/>
  <c r="C24" i="4" s="1"/>
  <c r="B69" i="8"/>
  <c r="F32" i="8"/>
  <c r="F33" i="8" s="1"/>
  <c r="E32" i="8"/>
  <c r="E66" i="8" l="1"/>
  <c r="C69" i="8"/>
  <c r="C25" i="4"/>
  <c r="C70" i="8"/>
  <c r="D29" i="4"/>
  <c r="C72" i="8"/>
  <c r="C73" i="8" l="1"/>
  <c r="E7" i="1" l="1"/>
  <c r="C7" i="1"/>
  <c r="B85" i="5"/>
  <c r="B3" i="5"/>
  <c r="B90" i="5" l="1"/>
  <c r="C89" i="5"/>
  <c r="I24" i="8"/>
  <c r="H17" i="8"/>
  <c r="I31" i="8"/>
  <c r="I23" i="8"/>
  <c r="I15" i="8"/>
  <c r="I7" i="8"/>
  <c r="H10" i="8"/>
  <c r="H18" i="8"/>
  <c r="H26" i="8"/>
  <c r="I21" i="8"/>
  <c r="I5" i="8"/>
  <c r="H20" i="8"/>
  <c r="H24" i="8"/>
  <c r="H9" i="8"/>
  <c r="I30" i="8"/>
  <c r="I22" i="8"/>
  <c r="I14" i="8"/>
  <c r="I6" i="8"/>
  <c r="H11" i="8"/>
  <c r="H19" i="8"/>
  <c r="H27" i="8"/>
  <c r="I29" i="8"/>
  <c r="I13" i="8"/>
  <c r="H12" i="8"/>
  <c r="H28" i="8"/>
  <c r="I16" i="8"/>
  <c r="I28" i="8"/>
  <c r="I20" i="8"/>
  <c r="I12" i="8"/>
  <c r="H31" i="8"/>
  <c r="H13" i="8"/>
  <c r="H21" i="8"/>
  <c r="H29" i="8"/>
  <c r="I27" i="8"/>
  <c r="I19" i="8"/>
  <c r="I11" i="8"/>
  <c r="H6" i="8"/>
  <c r="H14" i="8"/>
  <c r="H22" i="8"/>
  <c r="H30" i="8"/>
  <c r="I26" i="8"/>
  <c r="I18" i="8"/>
  <c r="I10" i="8"/>
  <c r="H7" i="8"/>
  <c r="H15" i="8"/>
  <c r="H23" i="8"/>
  <c r="H5" i="8"/>
  <c r="I25" i="8"/>
  <c r="I17" i="8"/>
  <c r="I9" i="8"/>
  <c r="H8" i="8"/>
  <c r="H16" i="8"/>
  <c r="I8" i="8"/>
  <c r="H25" i="8"/>
  <c r="B19" i="5"/>
  <c r="C78" i="5"/>
  <c r="AA77" i="5"/>
  <c r="Y77" i="5"/>
  <c r="W77" i="5"/>
  <c r="U77" i="5"/>
  <c r="S77" i="5"/>
  <c r="Q77" i="5"/>
  <c r="O77" i="5"/>
  <c r="K77" i="5"/>
  <c r="I77" i="5"/>
  <c r="G77" i="5"/>
  <c r="E77" i="5"/>
  <c r="C77" i="5"/>
  <c r="AA71" i="5"/>
  <c r="Y71" i="5"/>
  <c r="W71" i="5"/>
  <c r="U71" i="5"/>
  <c r="S71" i="5"/>
  <c r="Q71" i="5"/>
  <c r="O71" i="5"/>
  <c r="M71" i="5"/>
  <c r="K71" i="5"/>
  <c r="I71" i="5"/>
  <c r="G71" i="5"/>
  <c r="E71" i="5"/>
  <c r="B116" i="5"/>
  <c r="B118" i="5" s="1"/>
  <c r="E89" i="5" l="1"/>
  <c r="I32" i="8"/>
  <c r="H32" i="8"/>
  <c r="C72" i="5"/>
  <c r="C71" i="5"/>
  <c r="C118" i="5"/>
  <c r="B39" i="5"/>
  <c r="G89" i="5" l="1"/>
  <c r="I33" i="8"/>
  <c r="H17" i="4" s="1"/>
  <c r="C73" i="5"/>
  <c r="D39" i="5"/>
  <c r="D118" i="5"/>
  <c r="I89" i="5" l="1"/>
  <c r="E118" i="5"/>
  <c r="F39" i="5"/>
  <c r="K89" i="5" l="1"/>
  <c r="F118" i="5"/>
  <c r="G117" i="5" s="1"/>
  <c r="M77" i="5" s="1"/>
  <c r="H39" i="5"/>
  <c r="M89" i="5" l="1"/>
  <c r="G118" i="5"/>
  <c r="J39" i="5"/>
  <c r="O89" i="5" l="1"/>
  <c r="H118" i="5"/>
  <c r="L39" i="5"/>
  <c r="Q89" i="5" l="1"/>
  <c r="I118" i="5"/>
  <c r="N39" i="5"/>
  <c r="S89" i="5" l="1"/>
  <c r="J118" i="5"/>
  <c r="P39" i="5"/>
  <c r="U89" i="5" l="1"/>
  <c r="K118" i="5"/>
  <c r="R39" i="5"/>
  <c r="W89" i="5" l="1"/>
  <c r="L118" i="5"/>
  <c r="T39" i="5"/>
  <c r="Y89" i="5" l="1"/>
  <c r="M118" i="5"/>
  <c r="V39" i="5"/>
  <c r="AA89" i="5" l="1"/>
  <c r="N118" i="5"/>
  <c r="Z39" i="5" s="1"/>
  <c r="X39" i="5"/>
  <c r="Z52" i="5" l="1"/>
  <c r="X52" i="5"/>
  <c r="V52" i="5"/>
  <c r="T52" i="5"/>
  <c r="R52" i="5"/>
  <c r="P52" i="5"/>
  <c r="N52" i="5"/>
  <c r="Z53" i="5"/>
  <c r="O47" i="4"/>
  <c r="AA64" i="5" s="1"/>
  <c r="O27" i="4"/>
  <c r="O23" i="4"/>
  <c r="P18" i="4"/>
  <c r="O19" i="4"/>
  <c r="Z60" i="5" s="1"/>
  <c r="O13" i="4"/>
  <c r="Z55" i="5" s="1"/>
  <c r="P12" i="4"/>
  <c r="P11" i="4"/>
  <c r="O7" i="4"/>
  <c r="P6" i="4"/>
  <c r="P5" i="4"/>
  <c r="O30" i="4" l="1"/>
  <c r="Z56" i="5" s="1"/>
  <c r="AA57" i="5" s="1"/>
  <c r="AA76" i="5"/>
  <c r="AA51" i="5"/>
  <c r="P13" i="4"/>
  <c r="O32" i="4" l="1"/>
  <c r="AA111" i="5"/>
  <c r="AA109" i="5"/>
  <c r="AA110" i="5"/>
  <c r="AA108" i="5"/>
  <c r="O36" i="4"/>
  <c r="AA79" i="5"/>
  <c r="N20" i="5"/>
  <c r="AA58" i="5"/>
  <c r="O37" i="4" l="1"/>
  <c r="O33" i="4"/>
  <c r="N21" i="5"/>
  <c r="N122" i="5" s="1"/>
  <c r="N22" i="5" l="1"/>
  <c r="P46" i="4"/>
  <c r="C45" i="4"/>
  <c r="B34" i="5" s="1"/>
  <c r="X53" i="5"/>
  <c r="Y51" i="5" s="1"/>
  <c r="V53" i="5"/>
  <c r="W51" i="5" s="1"/>
  <c r="T53" i="5"/>
  <c r="U51" i="5" s="1"/>
  <c r="R53" i="5"/>
  <c r="S51" i="5" s="1"/>
  <c r="P53" i="5"/>
  <c r="Q51" i="5" s="1"/>
  <c r="N53" i="5"/>
  <c r="O51" i="5" s="1"/>
  <c r="N13" i="4"/>
  <c r="X55" i="5" s="1"/>
  <c r="M13" i="4"/>
  <c r="V55" i="5" s="1"/>
  <c r="L13" i="4"/>
  <c r="T55" i="5" s="1"/>
  <c r="K13" i="4"/>
  <c r="R55" i="5" s="1"/>
  <c r="J13" i="4"/>
  <c r="P55" i="5" s="1"/>
  <c r="I13" i="4"/>
  <c r="N55" i="5" s="1"/>
  <c r="H13" i="4"/>
  <c r="L55" i="5" s="1"/>
  <c r="G13" i="4"/>
  <c r="J55" i="5" s="1"/>
  <c r="F13" i="4"/>
  <c r="H55" i="5" s="1"/>
  <c r="E13" i="4"/>
  <c r="F55" i="5" s="1"/>
  <c r="D13" i="4"/>
  <c r="D55" i="5" s="1"/>
  <c r="C13" i="4"/>
  <c r="B55" i="5" s="1"/>
  <c r="N7" i="4"/>
  <c r="M7" i="4"/>
  <c r="L7" i="4"/>
  <c r="K7" i="4"/>
  <c r="J7" i="4"/>
  <c r="I7" i="4"/>
  <c r="H7" i="4"/>
  <c r="G7" i="4"/>
  <c r="F7" i="4"/>
  <c r="E7" i="4"/>
  <c r="D7" i="4"/>
  <c r="C7" i="4"/>
  <c r="I76" i="5" l="1"/>
  <c r="Y76" i="5"/>
  <c r="K76" i="5"/>
  <c r="M76" i="5"/>
  <c r="O76" i="5"/>
  <c r="Q76" i="5"/>
  <c r="C76" i="5"/>
  <c r="B33" i="5"/>
  <c r="D33" i="5" s="1"/>
  <c r="F33" i="5" s="1"/>
  <c r="H33" i="5" s="1"/>
  <c r="J33" i="5" s="1"/>
  <c r="L33" i="5" s="1"/>
  <c r="N33" i="5" s="1"/>
  <c r="P33" i="5" s="1"/>
  <c r="R33" i="5" s="1"/>
  <c r="T33" i="5" s="1"/>
  <c r="V33" i="5" s="1"/>
  <c r="X33" i="5" s="1"/>
  <c r="Z33" i="5" s="1"/>
  <c r="S76" i="5"/>
  <c r="K23" i="4"/>
  <c r="E76" i="5"/>
  <c r="U76" i="5"/>
  <c r="G76" i="5"/>
  <c r="W76" i="5"/>
  <c r="Z29" i="5"/>
  <c r="AB55" i="5"/>
  <c r="AB53" i="5"/>
  <c r="G23" i="4"/>
  <c r="E27" i="4"/>
  <c r="D45" i="4"/>
  <c r="D34" i="5" s="1"/>
  <c r="J36" i="4"/>
  <c r="L36" i="4"/>
  <c r="N36" i="4"/>
  <c r="I36" i="4"/>
  <c r="K36" i="4"/>
  <c r="M36" i="4"/>
  <c r="G27" i="4"/>
  <c r="I27" i="4"/>
  <c r="K27" i="4"/>
  <c r="M27" i="4"/>
  <c r="D27" i="4"/>
  <c r="F27" i="4"/>
  <c r="H27" i="4"/>
  <c r="J27" i="4"/>
  <c r="L27" i="4"/>
  <c r="N27" i="4"/>
  <c r="D23" i="4"/>
  <c r="F23" i="4"/>
  <c r="H23" i="4"/>
  <c r="J23" i="4"/>
  <c r="L23" i="4"/>
  <c r="N23" i="4"/>
  <c r="E23" i="4"/>
  <c r="I23" i="4"/>
  <c r="I30" i="4" s="1"/>
  <c r="N56" i="5" s="1"/>
  <c r="O57" i="5" s="1"/>
  <c r="M23" i="4"/>
  <c r="C27" i="4"/>
  <c r="H20" i="5"/>
  <c r="I17" i="5" s="1"/>
  <c r="J20" i="5"/>
  <c r="K17" i="5" s="1"/>
  <c r="L20" i="5"/>
  <c r="M17" i="5" s="1"/>
  <c r="I20" i="5"/>
  <c r="J17" i="5" s="1"/>
  <c r="K20" i="5"/>
  <c r="L17" i="5" s="1"/>
  <c r="M20" i="5"/>
  <c r="N17" i="5" s="1"/>
  <c r="C23" i="4"/>
  <c r="H30" i="4" l="1"/>
  <c r="E35" i="5"/>
  <c r="F30" i="4"/>
  <c r="G30" i="4"/>
  <c r="K30" i="4"/>
  <c r="R56" i="5" s="1"/>
  <c r="S57" i="5" s="1"/>
  <c r="E30" i="4"/>
  <c r="N30" i="4"/>
  <c r="X56" i="5" s="1"/>
  <c r="Y57" i="5" s="1"/>
  <c r="P27" i="4"/>
  <c r="M30" i="4"/>
  <c r="V56" i="5" s="1"/>
  <c r="W57" i="5" s="1"/>
  <c r="L30" i="4"/>
  <c r="T56" i="5" s="1"/>
  <c r="U57" i="5" s="1"/>
  <c r="D30" i="4"/>
  <c r="P23" i="4"/>
  <c r="J30" i="4"/>
  <c r="P56" i="5" s="1"/>
  <c r="Q57" i="5" s="1"/>
  <c r="C35" i="5"/>
  <c r="O79" i="5"/>
  <c r="D47" i="4"/>
  <c r="E64" i="5" s="1"/>
  <c r="K21" i="5"/>
  <c r="J21" i="5"/>
  <c r="M21" i="5"/>
  <c r="I21" i="5"/>
  <c r="L21" i="5"/>
  <c r="H21" i="5"/>
  <c r="E45" i="4"/>
  <c r="F34" i="5" s="1"/>
  <c r="G35" i="5" s="1"/>
  <c r="O58" i="5"/>
  <c r="C30" i="4"/>
  <c r="B52" i="5" s="1"/>
  <c r="P7" i="4"/>
  <c r="Y58" i="5" l="1"/>
  <c r="W79" i="5"/>
  <c r="H56" i="5"/>
  <c r="I57" i="5" s="1"/>
  <c r="I79" i="5" s="1"/>
  <c r="H52" i="5"/>
  <c r="I51" i="5" s="1"/>
  <c r="F56" i="5"/>
  <c r="G57" i="5" s="1"/>
  <c r="F52" i="5"/>
  <c r="G51" i="5" s="1"/>
  <c r="G58" i="5" s="1"/>
  <c r="G108" i="5" s="1"/>
  <c r="J56" i="5"/>
  <c r="K57" i="5" s="1"/>
  <c r="J52" i="5"/>
  <c r="K51" i="5" s="1"/>
  <c r="L56" i="5"/>
  <c r="M57" i="5" s="1"/>
  <c r="L52" i="5"/>
  <c r="M51" i="5" s="1"/>
  <c r="D56" i="5"/>
  <c r="E57" i="5" s="1"/>
  <c r="D52" i="5"/>
  <c r="Y79" i="5"/>
  <c r="U58" i="5"/>
  <c r="U108" i="5" s="1"/>
  <c r="U79" i="5"/>
  <c r="W58" i="5"/>
  <c r="W108" i="5" s="1"/>
  <c r="Q58" i="5"/>
  <c r="Q108" i="5" s="1"/>
  <c r="Q79" i="5"/>
  <c r="O108" i="5"/>
  <c r="Y108" i="5"/>
  <c r="L122" i="5"/>
  <c r="M18" i="5"/>
  <c r="M19" i="5" s="1"/>
  <c r="I122" i="5"/>
  <c r="J18" i="5"/>
  <c r="J19" i="5" s="1"/>
  <c r="K122" i="5"/>
  <c r="L18" i="5"/>
  <c r="L19" i="5" s="1"/>
  <c r="H122" i="5"/>
  <c r="I18" i="5"/>
  <c r="I19" i="5" s="1"/>
  <c r="M122" i="5"/>
  <c r="N18" i="5"/>
  <c r="N19" i="5" s="1"/>
  <c r="J122" i="5"/>
  <c r="K18" i="5"/>
  <c r="K19" i="5" s="1"/>
  <c r="E47" i="4"/>
  <c r="G64" i="5" s="1"/>
  <c r="S79" i="5"/>
  <c r="H22" i="5"/>
  <c r="L22" i="5"/>
  <c r="I22" i="5"/>
  <c r="M22" i="5"/>
  <c r="J22" i="5"/>
  <c r="K22" i="5"/>
  <c r="F45" i="4"/>
  <c r="H34" i="5" s="1"/>
  <c r="I35" i="5" s="1"/>
  <c r="S58" i="5"/>
  <c r="C47" i="4"/>
  <c r="C64" i="5" s="1"/>
  <c r="B56" i="5"/>
  <c r="P30" i="4"/>
  <c r="K79" i="5" l="1"/>
  <c r="G79" i="5"/>
  <c r="E79" i="5"/>
  <c r="E36" i="4"/>
  <c r="D20" i="5"/>
  <c r="H36" i="4"/>
  <c r="G20" i="5"/>
  <c r="M58" i="5"/>
  <c r="M108" i="5" s="1"/>
  <c r="E20" i="5"/>
  <c r="F36" i="4"/>
  <c r="G36" i="4"/>
  <c r="F20" i="5"/>
  <c r="K58" i="5"/>
  <c r="K108" i="5" s="1"/>
  <c r="M79" i="5"/>
  <c r="I58" i="5"/>
  <c r="I108" i="5" s="1"/>
  <c r="AB52" i="5"/>
  <c r="AC51" i="5" s="1"/>
  <c r="E51" i="5"/>
  <c r="S108" i="5"/>
  <c r="T29" i="5"/>
  <c r="R29" i="5"/>
  <c r="X29" i="5"/>
  <c r="P29" i="5"/>
  <c r="V29" i="5"/>
  <c r="N29" i="5"/>
  <c r="G45" i="4"/>
  <c r="J34" i="5" s="1"/>
  <c r="K35" i="5" s="1"/>
  <c r="F47" i="4"/>
  <c r="I64" i="5" s="1"/>
  <c r="O38" i="4"/>
  <c r="O39" i="4" s="1"/>
  <c r="Z61" i="5"/>
  <c r="AA62" i="5" s="1"/>
  <c r="AB56" i="5"/>
  <c r="AC57" i="5" s="1"/>
  <c r="C57" i="5"/>
  <c r="C51" i="5"/>
  <c r="B20" i="5" s="1"/>
  <c r="C17" i="5" s="1"/>
  <c r="F17" i="5" l="1"/>
  <c r="E21" i="5"/>
  <c r="E22" i="5" s="1"/>
  <c r="H29" i="5" s="1"/>
  <c r="H17" i="5"/>
  <c r="G21" i="5"/>
  <c r="G22" i="5" s="1"/>
  <c r="L29" i="5" s="1"/>
  <c r="E17" i="5"/>
  <c r="D21" i="5"/>
  <c r="G17" i="5"/>
  <c r="F21" i="5"/>
  <c r="F22" i="5" s="1"/>
  <c r="J29" i="5" s="1"/>
  <c r="C20" i="5"/>
  <c r="D36" i="4"/>
  <c r="E58" i="5"/>
  <c r="E108" i="5" s="1"/>
  <c r="P36" i="4"/>
  <c r="Q72" i="5"/>
  <c r="Q73" i="5" s="1"/>
  <c r="Y72" i="5"/>
  <c r="Y73" i="5" s="1"/>
  <c r="S72" i="5"/>
  <c r="S73" i="5" s="1"/>
  <c r="AA72" i="5"/>
  <c r="AA73" i="5" s="1"/>
  <c r="U72" i="5"/>
  <c r="U73" i="5" s="1"/>
  <c r="W72" i="5"/>
  <c r="W73" i="5" s="1"/>
  <c r="AA80" i="5"/>
  <c r="C79" i="5"/>
  <c r="G47" i="4"/>
  <c r="K64" i="5" s="1"/>
  <c r="H45" i="4"/>
  <c r="L34" i="5" s="1"/>
  <c r="M35" i="5" s="1"/>
  <c r="AA63" i="5"/>
  <c r="AA65" i="5" s="1"/>
  <c r="AC58" i="5"/>
  <c r="AC108" i="5" s="1"/>
  <c r="C36" i="4"/>
  <c r="C58" i="5"/>
  <c r="C108" i="5" s="1"/>
  <c r="G18" i="5" l="1"/>
  <c r="G19" i="5" s="1"/>
  <c r="F122" i="5"/>
  <c r="G122" i="5"/>
  <c r="H18" i="5"/>
  <c r="H19" i="5" s="1"/>
  <c r="F18" i="5"/>
  <c r="F19" i="5" s="1"/>
  <c r="E122" i="5"/>
  <c r="D122" i="5"/>
  <c r="E18" i="5"/>
  <c r="E19" i="5" s="1"/>
  <c r="D22" i="5"/>
  <c r="F29" i="5" s="1"/>
  <c r="D17" i="5"/>
  <c r="C21" i="5"/>
  <c r="O20" i="5"/>
  <c r="I45" i="4"/>
  <c r="I47" i="4" s="1"/>
  <c r="O64" i="5" s="1"/>
  <c r="H47" i="4"/>
  <c r="M64" i="5" s="1"/>
  <c r="B21" i="5"/>
  <c r="C18" i="5" s="1"/>
  <c r="K72" i="5" l="1"/>
  <c r="K73" i="5" s="1"/>
  <c r="M72" i="5"/>
  <c r="M73" i="5" s="1"/>
  <c r="O72" i="5"/>
  <c r="O73" i="5" s="1"/>
  <c r="I72" i="5"/>
  <c r="I73" i="5" s="1"/>
  <c r="C122" i="5"/>
  <c r="D18" i="5"/>
  <c r="D19" i="5" s="1"/>
  <c r="C22" i="5"/>
  <c r="D29" i="5" s="1"/>
  <c r="O17" i="5"/>
  <c r="B122" i="5"/>
  <c r="B124" i="5" s="1"/>
  <c r="B40" i="5" s="1"/>
  <c r="J45" i="4"/>
  <c r="J47" i="4" s="1"/>
  <c r="Q64" i="5" s="1"/>
  <c r="N34" i="5"/>
  <c r="O35" i="5" s="1"/>
  <c r="O21" i="5"/>
  <c r="B22" i="5"/>
  <c r="O18" i="5" l="1"/>
  <c r="O19" i="5" s="1"/>
  <c r="G72" i="5"/>
  <c r="G73" i="5" s="1"/>
  <c r="C123" i="5"/>
  <c r="C19" i="5"/>
  <c r="K45" i="4"/>
  <c r="K47" i="4" s="1"/>
  <c r="S64" i="5" s="1"/>
  <c r="P34" i="5"/>
  <c r="Q35" i="5" s="1"/>
  <c r="C41" i="5"/>
  <c r="B29" i="5"/>
  <c r="O22" i="5"/>
  <c r="C124" i="5" l="1"/>
  <c r="D123" i="5" s="1"/>
  <c r="E78" i="5"/>
  <c r="R34" i="5"/>
  <c r="S35" i="5" s="1"/>
  <c r="L45" i="4"/>
  <c r="M45" i="4" s="1"/>
  <c r="E72" i="5"/>
  <c r="E73" i="5" s="1"/>
  <c r="D40" i="5" l="1"/>
  <c r="E41" i="5" s="1"/>
  <c r="D124" i="5"/>
  <c r="E123" i="5"/>
  <c r="F40" i="5"/>
  <c r="G78" i="5"/>
  <c r="L47" i="4"/>
  <c r="U64" i="5" s="1"/>
  <c r="T34" i="5"/>
  <c r="U35" i="5" s="1"/>
  <c r="N45" i="4"/>
  <c r="M47" i="4"/>
  <c r="W64" i="5" s="1"/>
  <c r="E124" i="5" l="1"/>
  <c r="F123" i="5" s="1"/>
  <c r="V34" i="5"/>
  <c r="W35" i="5" s="1"/>
  <c r="G41" i="5"/>
  <c r="I78" i="5"/>
  <c r="N47" i="4"/>
  <c r="Y64" i="5" s="1"/>
  <c r="P45" i="4"/>
  <c r="P47" i="4" s="1"/>
  <c r="K78" i="5" l="1"/>
  <c r="F124" i="5"/>
  <c r="G123" i="5" s="1"/>
  <c r="H40" i="5"/>
  <c r="I41" i="5" s="1"/>
  <c r="G17" i="4"/>
  <c r="G19" i="4" s="1"/>
  <c r="N17" i="4"/>
  <c r="N19" i="4" s="1"/>
  <c r="F17" i="4"/>
  <c r="F19" i="4" s="1"/>
  <c r="M17" i="4"/>
  <c r="M19" i="4" s="1"/>
  <c r="E17" i="4"/>
  <c r="E19" i="4" s="1"/>
  <c r="L17" i="4"/>
  <c r="L19" i="4" s="1"/>
  <c r="D17" i="4"/>
  <c r="D19" i="4" s="1"/>
  <c r="H19" i="4"/>
  <c r="K17" i="4"/>
  <c r="K19" i="4" s="1"/>
  <c r="C17" i="4"/>
  <c r="J17" i="4"/>
  <c r="J19" i="4" s="1"/>
  <c r="I17" i="4"/>
  <c r="I19" i="4" s="1"/>
  <c r="X34" i="5"/>
  <c r="Z34" i="5" s="1"/>
  <c r="AA35" i="5" s="1"/>
  <c r="AC64" i="5"/>
  <c r="M78" i="5" l="1"/>
  <c r="G124" i="5"/>
  <c r="H123" i="5" s="1"/>
  <c r="J40" i="5"/>
  <c r="K41" i="5" s="1"/>
  <c r="O78" i="5"/>
  <c r="F60" i="5"/>
  <c r="E32" i="4"/>
  <c r="E33" i="4" s="1"/>
  <c r="V60" i="5"/>
  <c r="M32" i="4"/>
  <c r="R60" i="5"/>
  <c r="K32" i="4"/>
  <c r="P60" i="5"/>
  <c r="J32" i="4"/>
  <c r="C19" i="4"/>
  <c r="P17" i="4"/>
  <c r="J60" i="5"/>
  <c r="G32" i="4"/>
  <c r="G33" i="4" s="1"/>
  <c r="L60" i="5"/>
  <c r="H32" i="4"/>
  <c r="H33" i="4" s="1"/>
  <c r="N60" i="5"/>
  <c r="I32" i="4"/>
  <c r="H60" i="5"/>
  <c r="F32" i="4"/>
  <c r="F33" i="4" s="1"/>
  <c r="D60" i="5"/>
  <c r="D32" i="4"/>
  <c r="D33" i="4" s="1"/>
  <c r="X60" i="5"/>
  <c r="N32" i="4"/>
  <c r="Y35" i="5"/>
  <c r="T60" i="5"/>
  <c r="L32" i="4"/>
  <c r="H124" i="5" l="1"/>
  <c r="I123" i="5" s="1"/>
  <c r="L40" i="5"/>
  <c r="M37" i="4"/>
  <c r="M33" i="4"/>
  <c r="L37" i="4"/>
  <c r="L33" i="4"/>
  <c r="I37" i="4"/>
  <c r="I33" i="4"/>
  <c r="J37" i="4"/>
  <c r="J33" i="4"/>
  <c r="N37" i="4"/>
  <c r="N33" i="4"/>
  <c r="K37" i="4"/>
  <c r="K33" i="4"/>
  <c r="F37" i="4"/>
  <c r="E37" i="4"/>
  <c r="G37" i="4"/>
  <c r="H37" i="4"/>
  <c r="D37" i="4"/>
  <c r="M41" i="5"/>
  <c r="P19" i="4"/>
  <c r="B60" i="5"/>
  <c r="C32" i="4"/>
  <c r="C33" i="4" s="1"/>
  <c r="Q78" i="5"/>
  <c r="I124" i="5"/>
  <c r="J123" i="5" s="1"/>
  <c r="N40" i="5" l="1"/>
  <c r="L39" i="4"/>
  <c r="J38" i="4"/>
  <c r="J39" i="4" s="1"/>
  <c r="P61" i="5"/>
  <c r="Q62" i="5" s="1"/>
  <c r="M38" i="4"/>
  <c r="M39" i="4" s="1"/>
  <c r="V61" i="5"/>
  <c r="W62" i="5" s="1"/>
  <c r="K38" i="4"/>
  <c r="R61" i="5"/>
  <c r="S62" i="5" s="1"/>
  <c r="I38" i="4"/>
  <c r="N61" i="5"/>
  <c r="O62" i="5" s="1"/>
  <c r="K39" i="4"/>
  <c r="I39" i="4"/>
  <c r="L38" i="4"/>
  <c r="T61" i="5"/>
  <c r="U62" i="5" s="1"/>
  <c r="F38" i="4"/>
  <c r="F39" i="4" s="1"/>
  <c r="H61" i="5"/>
  <c r="I62" i="5" s="1"/>
  <c r="G38" i="4"/>
  <c r="G39" i="4" s="1"/>
  <c r="J61" i="5"/>
  <c r="K62" i="5" s="1"/>
  <c r="E38" i="4"/>
  <c r="E39" i="4" s="1"/>
  <c r="F61" i="5"/>
  <c r="G62" i="5" s="1"/>
  <c r="C38" i="4"/>
  <c r="B61" i="5"/>
  <c r="C62" i="5" s="1"/>
  <c r="H38" i="4"/>
  <c r="L61" i="5"/>
  <c r="M62" i="5" s="1"/>
  <c r="H39" i="4"/>
  <c r="D38" i="4"/>
  <c r="D39" i="4" s="1"/>
  <c r="D61" i="5"/>
  <c r="E62" i="5" s="1"/>
  <c r="P32" i="4"/>
  <c r="C37" i="4"/>
  <c r="C39" i="4" s="1"/>
  <c r="AB60" i="5"/>
  <c r="S109" i="5"/>
  <c r="S110" i="5"/>
  <c r="U109" i="5"/>
  <c r="U110" i="5"/>
  <c r="W109" i="5"/>
  <c r="W110" i="5"/>
  <c r="J124" i="5"/>
  <c r="K123" i="5" s="1"/>
  <c r="Q109" i="5"/>
  <c r="Q110" i="5"/>
  <c r="O109" i="5"/>
  <c r="O110" i="5"/>
  <c r="O41" i="5"/>
  <c r="S78" i="5"/>
  <c r="P40" i="5"/>
  <c r="U78" i="5" l="1"/>
  <c r="W63" i="5"/>
  <c r="W65" i="5" s="1"/>
  <c r="W80" i="5"/>
  <c r="O80" i="5"/>
  <c r="O81" i="5" s="1"/>
  <c r="O63" i="5"/>
  <c r="O65" i="5" s="1"/>
  <c r="Q80" i="5"/>
  <c r="Q81" i="5" s="1"/>
  <c r="Q63" i="5"/>
  <c r="Q65" i="5" s="1"/>
  <c r="S80" i="5"/>
  <c r="S81" i="5" s="1"/>
  <c r="S63" i="5"/>
  <c r="S65" i="5" s="1"/>
  <c r="U80" i="5"/>
  <c r="U81" i="5" s="1"/>
  <c r="U63" i="5"/>
  <c r="U65" i="5" s="1"/>
  <c r="K80" i="5"/>
  <c r="K81" i="5" s="1"/>
  <c r="K63" i="5"/>
  <c r="I80" i="5"/>
  <c r="I81" i="5" s="1"/>
  <c r="I63" i="5"/>
  <c r="G80" i="5"/>
  <c r="G81" i="5" s="1"/>
  <c r="G63" i="5"/>
  <c r="M63" i="5"/>
  <c r="M80" i="5"/>
  <c r="M81" i="5" s="1"/>
  <c r="E80" i="5"/>
  <c r="E81" i="5" s="1"/>
  <c r="E63" i="5"/>
  <c r="K124" i="5"/>
  <c r="L123" i="5" s="1"/>
  <c r="R40" i="5"/>
  <c r="S111" i="5"/>
  <c r="W111" i="5"/>
  <c r="C80" i="5"/>
  <c r="C81" i="5" s="1"/>
  <c r="C84" i="5" s="1"/>
  <c r="C63" i="5"/>
  <c r="Q111" i="5"/>
  <c r="U111" i="5"/>
  <c r="O111" i="5"/>
  <c r="P37" i="4"/>
  <c r="Q41" i="5"/>
  <c r="W78" i="5" l="1"/>
  <c r="W81" i="5" s="1"/>
  <c r="I109" i="5"/>
  <c r="I65" i="5"/>
  <c r="I110" i="5"/>
  <c r="K110" i="5"/>
  <c r="K65" i="5"/>
  <c r="K109" i="5"/>
  <c r="G109" i="5"/>
  <c r="G65" i="5"/>
  <c r="G110" i="5"/>
  <c r="M65" i="5"/>
  <c r="M110" i="5"/>
  <c r="M109" i="5"/>
  <c r="E65" i="5"/>
  <c r="E110" i="5"/>
  <c r="E109" i="5"/>
  <c r="T40" i="5"/>
  <c r="L124" i="5"/>
  <c r="M123" i="5" s="1"/>
  <c r="S41" i="5"/>
  <c r="N38" i="4"/>
  <c r="N39" i="4" s="1"/>
  <c r="X61" i="5"/>
  <c r="Y62" i="5" s="1"/>
  <c r="P33" i="4"/>
  <c r="B28" i="5"/>
  <c r="C30" i="5" s="1"/>
  <c r="E83" i="5"/>
  <c r="E84" i="5" s="1"/>
  <c r="C85" i="5"/>
  <c r="C109" i="5"/>
  <c r="C65" i="5"/>
  <c r="C110" i="5"/>
  <c r="C90" i="5" l="1"/>
  <c r="Y78" i="5"/>
  <c r="G111" i="5"/>
  <c r="K111" i="5"/>
  <c r="I111" i="5"/>
  <c r="M111" i="5"/>
  <c r="E111" i="5"/>
  <c r="U41" i="5"/>
  <c r="V40" i="5"/>
  <c r="M124" i="5"/>
  <c r="X40" i="5" s="1"/>
  <c r="P38" i="4"/>
  <c r="P39" i="4" s="1"/>
  <c r="AB61" i="5"/>
  <c r="AC62" i="5" s="1"/>
  <c r="AC63" i="5" s="1"/>
  <c r="P34" i="4"/>
  <c r="E85" i="5"/>
  <c r="E90" i="5" s="1"/>
  <c r="D28" i="5"/>
  <c r="E30" i="5" s="1"/>
  <c r="G83" i="5"/>
  <c r="G84" i="5" s="1"/>
  <c r="C44" i="5"/>
  <c r="C111" i="5"/>
  <c r="C36" i="5"/>
  <c r="C98" i="5"/>
  <c r="C107" i="5"/>
  <c r="C97" i="5"/>
  <c r="Y80" i="5"/>
  <c r="Y63" i="5"/>
  <c r="Y81" i="5" l="1"/>
  <c r="N123" i="5"/>
  <c r="W41" i="5"/>
  <c r="E36" i="5"/>
  <c r="E98" i="5"/>
  <c r="E107" i="5"/>
  <c r="E97" i="5"/>
  <c r="G85" i="5"/>
  <c r="F28" i="5"/>
  <c r="G30" i="5" s="1"/>
  <c r="I83" i="5"/>
  <c r="I84" i="5" s="1"/>
  <c r="C46" i="5"/>
  <c r="C47" i="5" s="1"/>
  <c r="C102" i="5"/>
  <c r="C105" i="5"/>
  <c r="E44" i="5"/>
  <c r="Y109" i="5"/>
  <c r="Y110" i="5"/>
  <c r="Y65" i="5"/>
  <c r="AC109" i="5"/>
  <c r="AC110" i="5"/>
  <c r="AC65" i="5"/>
  <c r="AC111" i="5" s="1"/>
  <c r="C106" i="5"/>
  <c r="C101" i="5"/>
  <c r="Y41" i="5"/>
  <c r="G90" i="5" l="1"/>
  <c r="AA78" i="5"/>
  <c r="AA81" i="5" s="1"/>
  <c r="N124" i="5"/>
  <c r="Z40" i="5" s="1"/>
  <c r="G98" i="5"/>
  <c r="G97" i="5"/>
  <c r="G107" i="5"/>
  <c r="G36" i="5"/>
  <c r="I85" i="5"/>
  <c r="I90" i="5" s="1"/>
  <c r="H28" i="5"/>
  <c r="I30" i="5" s="1"/>
  <c r="K83" i="5"/>
  <c r="K84" i="5" s="1"/>
  <c r="Y111" i="5"/>
  <c r="E102" i="5"/>
  <c r="E46" i="5"/>
  <c r="E47" i="5" s="1"/>
  <c r="E105" i="5"/>
  <c r="G44" i="5"/>
  <c r="E101" i="5"/>
  <c r="E106" i="5"/>
  <c r="AA41" i="5" l="1"/>
  <c r="AA97" i="5" s="1"/>
  <c r="G46" i="5"/>
  <c r="G47" i="5" s="1"/>
  <c r="G102" i="5"/>
  <c r="I44" i="5"/>
  <c r="G105" i="5"/>
  <c r="G106" i="5"/>
  <c r="G101" i="5"/>
  <c r="K85" i="5"/>
  <c r="J28" i="5"/>
  <c r="K30" i="5" s="1"/>
  <c r="M83" i="5"/>
  <c r="M84" i="5" s="1"/>
  <c r="I98" i="5"/>
  <c r="I97" i="5"/>
  <c r="I107" i="5"/>
  <c r="I36" i="5"/>
  <c r="K90" i="5" l="1"/>
  <c r="I106" i="5"/>
  <c r="I101" i="5"/>
  <c r="I102" i="5"/>
  <c r="I105" i="5"/>
  <c r="I46" i="5"/>
  <c r="I47" i="5" s="1"/>
  <c r="K44" i="5"/>
  <c r="O83" i="5"/>
  <c r="O84" i="5" s="1"/>
  <c r="L28" i="5"/>
  <c r="M30" i="5" s="1"/>
  <c r="M85" i="5"/>
  <c r="M90" i="5" s="1"/>
  <c r="K97" i="5"/>
  <c r="K36" i="5"/>
  <c r="K107" i="5"/>
  <c r="K98" i="5"/>
  <c r="O85" i="5" l="1"/>
  <c r="N28" i="5"/>
  <c r="O30" i="5" s="1"/>
  <c r="Q83" i="5"/>
  <c r="Q84" i="5" s="1"/>
  <c r="K106" i="5"/>
  <c r="K101" i="5"/>
  <c r="M44" i="5"/>
  <c r="K105" i="5"/>
  <c r="K46" i="5"/>
  <c r="K47" i="5" s="1"/>
  <c r="K102" i="5"/>
  <c r="M36" i="5"/>
  <c r="M98" i="5"/>
  <c r="M107" i="5"/>
  <c r="M97" i="5"/>
  <c r="O90" i="5" l="1"/>
  <c r="M106" i="5"/>
  <c r="M101" i="5"/>
  <c r="Q85" i="5"/>
  <c r="Q90" i="5" s="1"/>
  <c r="P28" i="5"/>
  <c r="Q30" i="5" s="1"/>
  <c r="S83" i="5"/>
  <c r="S84" i="5" s="1"/>
  <c r="O98" i="5"/>
  <c r="O36" i="5"/>
  <c r="O107" i="5"/>
  <c r="O97" i="5"/>
  <c r="M46" i="5"/>
  <c r="M47" i="5" s="1"/>
  <c r="M105" i="5"/>
  <c r="M102" i="5"/>
  <c r="O44" i="5"/>
  <c r="O106" i="5" l="1"/>
  <c r="O101" i="5"/>
  <c r="S85" i="5"/>
  <c r="S90" i="5" s="1"/>
  <c r="U83" i="5"/>
  <c r="U84" i="5" s="1"/>
  <c r="R28" i="5"/>
  <c r="S30" i="5" s="1"/>
  <c r="O46" i="5"/>
  <c r="O47" i="5" s="1"/>
  <c r="O102" i="5"/>
  <c r="Q44" i="5"/>
  <c r="O105" i="5"/>
  <c r="Q98" i="5"/>
  <c r="Q97" i="5"/>
  <c r="Q107" i="5"/>
  <c r="Q36" i="5"/>
  <c r="U85" i="5" l="1"/>
  <c r="U90" i="5" s="1"/>
  <c r="W83" i="5"/>
  <c r="W84" i="5" s="1"/>
  <c r="T28" i="5"/>
  <c r="U30" i="5" s="1"/>
  <c r="S107" i="5"/>
  <c r="S36" i="5"/>
  <c r="S98" i="5"/>
  <c r="S97" i="5"/>
  <c r="Q101" i="5"/>
  <c r="Q106" i="5"/>
  <c r="Q102" i="5"/>
  <c r="Q105" i="5"/>
  <c r="Q46" i="5"/>
  <c r="Q47" i="5" s="1"/>
  <c r="S44" i="5"/>
  <c r="W85" i="5" l="1"/>
  <c r="W90" i="5" s="1"/>
  <c r="Y83" i="5"/>
  <c r="Y84" i="5" s="1"/>
  <c r="V28" i="5"/>
  <c r="W30" i="5" s="1"/>
  <c r="S46" i="5"/>
  <c r="S47" i="5" s="1"/>
  <c r="S102" i="5"/>
  <c r="U44" i="5"/>
  <c r="S105" i="5"/>
  <c r="S106" i="5"/>
  <c r="S101" i="5"/>
  <c r="U97" i="5"/>
  <c r="U98" i="5"/>
  <c r="U107" i="5"/>
  <c r="U36" i="5"/>
  <c r="Y85" i="5" l="1"/>
  <c r="Y90" i="5" s="1"/>
  <c r="AA83" i="5"/>
  <c r="AA84" i="5" s="1"/>
  <c r="X28" i="5"/>
  <c r="Y30" i="5" s="1"/>
  <c r="U106" i="5"/>
  <c r="U101" i="5"/>
  <c r="U105" i="5"/>
  <c r="U102" i="5"/>
  <c r="W44" i="5"/>
  <c r="U46" i="5"/>
  <c r="U47" i="5" s="1"/>
  <c r="W107" i="5"/>
  <c r="W98" i="5"/>
  <c r="W36" i="5"/>
  <c r="W97" i="5"/>
  <c r="W106" i="5" l="1"/>
  <c r="W101" i="5"/>
  <c r="Y98" i="5"/>
  <c r="Y107" i="5"/>
  <c r="Y97" i="5"/>
  <c r="Y36" i="5"/>
  <c r="Z28" i="5"/>
  <c r="AA30" i="5" s="1"/>
  <c r="AA85" i="5"/>
  <c r="W46" i="5"/>
  <c r="W47" i="5" s="1"/>
  <c r="Y44" i="5"/>
  <c r="W105" i="5"/>
  <c r="W102" i="5"/>
  <c r="AA90" i="5" l="1"/>
  <c r="B92" i="5"/>
  <c r="E3" i="5"/>
  <c r="Y106" i="5"/>
  <c r="Y101" i="5"/>
  <c r="AA107" i="5"/>
  <c r="AC107" i="5"/>
  <c r="AA36" i="5"/>
  <c r="AA98" i="5"/>
  <c r="AA44" i="5"/>
  <c r="Y102" i="5"/>
  <c r="Y46" i="5"/>
  <c r="Y47" i="5" s="1"/>
  <c r="Y105" i="5"/>
  <c r="AA46" i="5" l="1"/>
  <c r="AA47" i="5" s="1"/>
  <c r="AA105" i="5"/>
  <c r="AA102" i="5"/>
  <c r="AC105" i="5"/>
  <c r="AA106" i="5"/>
  <c r="AC106" i="5"/>
  <c r="AA101" i="5"/>
</calcChain>
</file>

<file path=xl/comments1.xml><?xml version="1.0" encoding="utf-8"?>
<comments xmlns="http://schemas.openxmlformats.org/spreadsheetml/2006/main">
  <authors>
    <author>Israel Perez Garcia</author>
  </authors>
  <commentList>
    <comment ref="B85" authorId="0">
      <text>
        <r>
          <rPr>
            <b/>
            <sz val="8"/>
            <color indexed="81"/>
            <rFont val="Tahoma"/>
            <family val="2"/>
          </rPr>
          <t>Inversión inicial 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Valor capturado para cálculo de TIR.</t>
        </r>
      </text>
    </comment>
  </commentList>
</comments>
</file>

<file path=xl/sharedStrings.xml><?xml version="1.0" encoding="utf-8"?>
<sst xmlns="http://schemas.openxmlformats.org/spreadsheetml/2006/main" count="442" uniqueCount="227">
  <si>
    <t>ESTIMACIÓN DE GASTOS DEL PROYECTO</t>
  </si>
  <si>
    <t>Clasificación del gasto</t>
  </si>
  <si>
    <t>CAPEX</t>
  </si>
  <si>
    <t>TOTAL CAPEX</t>
  </si>
  <si>
    <t>Materiales e insumos</t>
  </si>
  <si>
    <t>TOTAL Materiales e insumos</t>
  </si>
  <si>
    <t>Costo del personal</t>
  </si>
  <si>
    <t>TOTAL Costo del Personal</t>
  </si>
  <si>
    <t>Transporte y viáticos</t>
  </si>
  <si>
    <t>Transpotación</t>
  </si>
  <si>
    <t>Combustibles</t>
  </si>
  <si>
    <t>Casetas</t>
  </si>
  <si>
    <t>Viáticos</t>
  </si>
  <si>
    <t>Hospedaje</t>
  </si>
  <si>
    <t>Alimentos</t>
  </si>
  <si>
    <t>TOTAL Transporte y Viáticos</t>
  </si>
  <si>
    <t>TOTAL GASTOS DIRECTOS</t>
  </si>
  <si>
    <t>TOTAL DE GASTOS</t>
  </si>
  <si>
    <t>Ingresos</t>
  </si>
  <si>
    <t>Gastos directos</t>
  </si>
  <si>
    <t>Gastos indirectos</t>
  </si>
  <si>
    <t>Utilidad</t>
  </si>
  <si>
    <t>PREMISAS</t>
  </si>
  <si>
    <t>USD</t>
  </si>
  <si>
    <t>Proyecto recupera viáticos</t>
  </si>
  <si>
    <t>Depreciación equipo de cómputo</t>
  </si>
  <si>
    <t>Tipo de cambio USD</t>
  </si>
  <si>
    <t>IVA</t>
  </si>
  <si>
    <t>TOTAL</t>
  </si>
  <si>
    <t>ESQUEMA DE FACTURACIÓN Y PAGOS</t>
  </si>
  <si>
    <t>N</t>
  </si>
  <si>
    <t>Utilidad neta</t>
  </si>
  <si>
    <t>ESTADO DE RESULTADOS</t>
  </si>
  <si>
    <t>Recuperación de viáticos</t>
  </si>
  <si>
    <t>Ingresos por servicios</t>
  </si>
  <si>
    <t>Costo por servicios</t>
  </si>
  <si>
    <t>Transportación y viáticos</t>
  </si>
  <si>
    <t>Utilidad bruta</t>
  </si>
  <si>
    <t>Gastos de operación</t>
  </si>
  <si>
    <t>Salarios (costo institucional de plazas)</t>
  </si>
  <si>
    <t>EBITDA</t>
  </si>
  <si>
    <t>Depreciación</t>
  </si>
  <si>
    <t>PROYECCIÓN DE LA DEPRECIACIÓN</t>
  </si>
  <si>
    <t>Equipo de cómputo</t>
  </si>
  <si>
    <t>Total</t>
  </si>
  <si>
    <t>Meses de servicios</t>
  </si>
  <si>
    <t>Aplica valor futuro a pagos</t>
  </si>
  <si>
    <t>Valores</t>
  </si>
  <si>
    <t>PAGOS</t>
  </si>
  <si>
    <t>Ene</t>
  </si>
  <si>
    <t>Feb</t>
  </si>
  <si>
    <t>Mzo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</si>
  <si>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</si>
  <si>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</si>
  <si>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</si>
  <si>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</si>
  <si>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</si>
  <si>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</si>
  <si>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</si>
  <si>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</si>
  <si>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</si>
  <si>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 inicial de servicios</t>
  </si>
  <si>
    <t>Anual</t>
  </si>
  <si>
    <t>Equipo de cómputo (Laptop)</t>
  </si>
  <si>
    <t>TOTAL ANUAL</t>
  </si>
  <si>
    <t>Servicios</t>
  </si>
  <si>
    <t>Tasa de descuento mensual</t>
  </si>
  <si>
    <t>Efectivo al inicio del período</t>
  </si>
  <si>
    <t>Entradas:</t>
  </si>
  <si>
    <t>Cobranza</t>
  </si>
  <si>
    <t>Total entradas</t>
  </si>
  <si>
    <t>Salidas:</t>
  </si>
  <si>
    <t>Total salidas</t>
  </si>
  <si>
    <t>Clientes</t>
  </si>
  <si>
    <t>Efectivo al final del período</t>
  </si>
  <si>
    <t>Inversiones en activo fijo</t>
  </si>
  <si>
    <t>BALANCE GENERAL</t>
  </si>
  <si>
    <t>Activo</t>
  </si>
  <si>
    <t>Circulante</t>
  </si>
  <si>
    <t>Efectivo</t>
  </si>
  <si>
    <t>Total Circulante</t>
  </si>
  <si>
    <t>Fijo</t>
  </si>
  <si>
    <t>Depreciación acumulada</t>
  </si>
  <si>
    <t>Total Activo Fijo</t>
  </si>
  <si>
    <t>Pasivo</t>
  </si>
  <si>
    <t>Total Pasivo</t>
  </si>
  <si>
    <t>Capital</t>
  </si>
  <si>
    <t>Total Activo</t>
  </si>
  <si>
    <t>Pasivo + Capital</t>
  </si>
  <si>
    <t>IVA por pagar</t>
  </si>
  <si>
    <t>Cobranza (incluye IVA)</t>
  </si>
  <si>
    <t>Préstamos</t>
  </si>
  <si>
    <t>Pagos</t>
  </si>
  <si>
    <t>Saldo</t>
  </si>
  <si>
    <t>Determinación del saldo de IVA por pagar</t>
  </si>
  <si>
    <t>Por ingresos</t>
  </si>
  <si>
    <t>Por pago</t>
  </si>
  <si>
    <t>Diferencias</t>
  </si>
  <si>
    <t>Cuentas por pagar</t>
  </si>
  <si>
    <t>Pagos cuentas por pagar</t>
  </si>
  <si>
    <t>Determinación del saldo de cuentas por pagar</t>
  </si>
  <si>
    <t>IVA Pagado</t>
  </si>
  <si>
    <t>Flujo de efectivo del período</t>
  </si>
  <si>
    <t>AUXILIARES</t>
  </si>
  <si>
    <t>VPN</t>
  </si>
  <si>
    <t>TIR</t>
  </si>
  <si>
    <t>Tasa de descuento anual</t>
  </si>
  <si>
    <t>Tasa</t>
  </si>
  <si>
    <t>Flujo descontado</t>
  </si>
  <si>
    <t>DETERMINACIÓN DE VPN Y TIR</t>
  </si>
  <si>
    <t>INDICADORES FINANCIEROS</t>
  </si>
  <si>
    <t>ROE</t>
  </si>
  <si>
    <t>ROA</t>
  </si>
  <si>
    <t>Margen EBITDA</t>
  </si>
  <si>
    <t>Rentabilidad</t>
  </si>
  <si>
    <t>ROI</t>
  </si>
  <si>
    <t>Liquidez</t>
  </si>
  <si>
    <t>Razón de circulante  (AC/PC)</t>
  </si>
  <si>
    <t>Margen de utilidad bruta</t>
  </si>
  <si>
    <t>Margen de utilidad de operación</t>
  </si>
  <si>
    <t>Margen de utilidad neta</t>
  </si>
  <si>
    <t>Estabilidad (PT/CC)</t>
  </si>
  <si>
    <t>Capital de trabajo (AC-PC)</t>
  </si>
  <si>
    <t>Apalancamiento (PT/AT)</t>
  </si>
  <si>
    <t>Deuda / solvencia</t>
  </si>
  <si>
    <t>MXP</t>
  </si>
  <si>
    <t>ESTIMACIÓN DE VIAJES Y GASTOS DE TRANSPORTACIÓN</t>
  </si>
  <si>
    <t>Task Name</t>
  </si>
  <si>
    <t>Duration</t>
  </si>
  <si>
    <t>Start</t>
  </si>
  <si>
    <t>Finish</t>
  </si>
  <si>
    <t>93.25 days?</t>
  </si>
  <si>
    <t>Mon 28/03/16</t>
  </si>
  <si>
    <t>Fri 12/08/16</t>
  </si>
  <si>
    <t xml:space="preserve">   Fase 1. Negociación inicial</t>
  </si>
  <si>
    <t>5 days</t>
  </si>
  <si>
    <t>Fri 01/04/16</t>
  </si>
  <si>
    <t xml:space="preserve">      Definición de la declaración del alcance</t>
  </si>
  <si>
    <t>3 days</t>
  </si>
  <si>
    <t>Wed 30/03/16</t>
  </si>
  <si>
    <t xml:space="preserve">      Firma del contrato</t>
  </si>
  <si>
    <t>1 day</t>
  </si>
  <si>
    <t xml:space="preserve">   Fase 2. Establecimiento del esquema de trabajo</t>
  </si>
  <si>
    <t>2 days</t>
  </si>
  <si>
    <t>Mon 04/04/16</t>
  </si>
  <si>
    <t>Tue 05/04/16</t>
  </si>
  <si>
    <t xml:space="preserve">      Gestón del proyecto</t>
  </si>
  <si>
    <t xml:space="preserve">      Esquema de desarrollo</t>
  </si>
  <si>
    <t xml:space="preserve">   Fase 3. Identificación de requerimientos y diseño</t>
  </si>
  <si>
    <t>Wed 06/04/16</t>
  </si>
  <si>
    <t>Tue 12/04/16</t>
  </si>
  <si>
    <t xml:space="preserve">      Diseño del modelo conceptual</t>
  </si>
  <si>
    <t>Thu 07/04/16</t>
  </si>
  <si>
    <t xml:space="preserve">      Documentación de requerimientos</t>
  </si>
  <si>
    <t>Fri 08/04/16</t>
  </si>
  <si>
    <t xml:space="preserve">   Fase 4. Desarrollo</t>
  </si>
  <si>
    <t>26.88 days?</t>
  </si>
  <si>
    <t>Tue 03/05/16</t>
  </si>
  <si>
    <t xml:space="preserve">      Codificación</t>
  </si>
  <si>
    <t xml:space="preserve">         Codificación 1</t>
  </si>
  <si>
    <t>4 days</t>
  </si>
  <si>
    <t>Wed 13/04/16</t>
  </si>
  <si>
    <t>Mon 18/04/16</t>
  </si>
  <si>
    <t xml:space="preserve">         Codificación 2</t>
  </si>
  <si>
    <t>Wed 20/04/16</t>
  </si>
  <si>
    <t>Mon 25/04/16</t>
  </si>
  <si>
    <t xml:space="preserve">         Codificación 3</t>
  </si>
  <si>
    <t>Wed 27/04/16</t>
  </si>
  <si>
    <t>Mon 02/05/16</t>
  </si>
  <si>
    <t xml:space="preserve">      Entrega</t>
  </si>
  <si>
    <t xml:space="preserve">         Entrega 1</t>
  </si>
  <si>
    <t>Tue 19/04/16</t>
  </si>
  <si>
    <t xml:space="preserve">         Entrega 2</t>
  </si>
  <si>
    <t>Tue 26/04/16</t>
  </si>
  <si>
    <t xml:space="preserve">         Entrega 3</t>
  </si>
  <si>
    <t xml:space="preserve">      Validación y pruebas</t>
  </si>
  <si>
    <t xml:space="preserve">         Validación y pruebas 1</t>
  </si>
  <si>
    <t xml:space="preserve">         Validación y pruebas 2</t>
  </si>
  <si>
    <t xml:space="preserve">         Validación y pruebas 3</t>
  </si>
  <si>
    <t xml:space="preserve">   Entrega de versión beta</t>
  </si>
  <si>
    <t>1 hr</t>
  </si>
  <si>
    <t xml:space="preserve">   Pruebas finales para aceptación</t>
  </si>
  <si>
    <t>60 days</t>
  </si>
  <si>
    <t>Wed 03/08/16</t>
  </si>
  <si>
    <t xml:space="preserve">   Fase 5. Entregable final de la solución</t>
  </si>
  <si>
    <t>Thu 04/08/16</t>
  </si>
  <si>
    <t xml:space="preserve">   Fase 6. Cierre</t>
  </si>
  <si>
    <t>6 days</t>
  </si>
  <si>
    <t>VIAJES</t>
  </si>
  <si>
    <t>HOSPEDAJE</t>
  </si>
  <si>
    <t>ALIMENTOS</t>
  </si>
  <si>
    <t>MARZO</t>
  </si>
  <si>
    <t>ABRIL</t>
  </si>
  <si>
    <t>MAYO</t>
  </si>
  <si>
    <t>JUNIO</t>
  </si>
  <si>
    <t>JULIO</t>
  </si>
  <si>
    <t>AGOSTO</t>
  </si>
  <si>
    <t>DIAS DE TRABAJO ESTIMADOS</t>
  </si>
  <si>
    <t>Combustible</t>
  </si>
  <si>
    <t>Alimentación</t>
  </si>
  <si>
    <t>TOTALES</t>
  </si>
  <si>
    <t>COSTO</t>
  </si>
  <si>
    <t>COSTO DE GASTOS DE TRANSPORTACION Y VIATICOS</t>
  </si>
  <si>
    <t>UNITARIO</t>
  </si>
  <si>
    <t>Papelería y útiles</t>
  </si>
  <si>
    <t>Recursos CIMAT</t>
  </si>
  <si>
    <t>Precio diario de la consultoría</t>
  </si>
  <si>
    <t>Mar</t>
  </si>
  <si>
    <t>Empresa La Picuda</t>
  </si>
  <si>
    <t>Costo por consultor</t>
  </si>
  <si>
    <t>Costo Mensual</t>
  </si>
  <si>
    <t>Costo Diario</t>
  </si>
  <si>
    <t>Consultor Senior</t>
  </si>
  <si>
    <t>Consultor Junior</t>
  </si>
  <si>
    <t>ESTIMACIÓN DEL COSTO DEL PERSONAL</t>
  </si>
  <si>
    <t>CS</t>
  </si>
  <si>
    <t>CJ</t>
  </si>
  <si>
    <t>COSTO TOTAL</t>
  </si>
  <si>
    <t>Consultoría especializada en desarrollo de software</t>
  </si>
  <si>
    <t>Laptop</t>
  </si>
  <si>
    <t>Software</t>
  </si>
  <si>
    <t>Overheads</t>
  </si>
  <si>
    <t>Depreciación SW</t>
  </si>
  <si>
    <t>Efectivo al inicio del proyecto (Financiamiento Inicial)</t>
  </si>
  <si>
    <t>Cuentas por pagar (Financiamiento inicial)</t>
  </si>
  <si>
    <t>FLUJO DE EFECTIVO</t>
  </si>
  <si>
    <t>Equipo de cómputo y 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</si>
</sst>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  <numFmt numFmtId="167" formatCode="#,##0.00_ ;[Red]\-#,##0.00;_-* &quot;-&quot;??_-"/>
    <numFmt numFmtId="168" formatCode="0.000%"/>
    <numFmt numFmtId="169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F3F7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63636"/>
      <name val="Segoe UI"/>
      <family val="2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FE3E8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rgb="FFB1BBCC"/>
      </left>
      <right style="thin">
        <color rgb="FFB1BBCC"/>
      </right>
      <top/>
      <bottom/>
      <diagonal/>
    </border>
    <border>
      <left style="thin">
        <color rgb="FFB1BBCC"/>
      </left>
      <right/>
      <top/>
      <bottom/>
      <diagonal/>
    </border>
    <border>
      <left/>
      <right/>
      <top/>
      <bottom style="thin">
        <color rgb="FFB1BBCC"/>
      </bottom>
      <diagonal/>
    </border>
    <border>
      <left/>
      <right style="thin">
        <color rgb="FFB1BBCC"/>
      </right>
      <top/>
      <bottom/>
      <diagonal/>
    </border>
    <border>
      <left/>
      <right style="thin">
        <color rgb="FFB1BBCC"/>
      </right>
      <top/>
      <bottom style="thin">
        <color rgb="FFB1BBCC"/>
      </bottom>
      <diagonal/>
    </border>
    <border>
      <left style="thin">
        <color rgb="FFB1BBCC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2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2" borderId="0" xfId="0" applyFont="1" applyFill="1"/>
    <xf numFmtId="43" fontId="2" fillId="2" borderId="0" xfId="0" applyNumberFormat="1" applyFont="1" applyFill="1"/>
    <xf numFmtId="43" fontId="3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43" fontId="3" fillId="0" borderId="0" xfId="0" applyNumberFormat="1" applyFont="1" applyBorder="1"/>
    <xf numFmtId="0" fontId="0" fillId="0" borderId="0" xfId="0" applyAlignment="1">
      <alignment horizontal="left" indent="1"/>
    </xf>
    <xf numFmtId="43" fontId="0" fillId="0" borderId="0" xfId="1" applyFont="1"/>
    <xf numFmtId="43" fontId="0" fillId="0" borderId="0" xfId="0" applyNumberFormat="1"/>
    <xf numFmtId="43" fontId="0" fillId="0" borderId="1" xfId="1" applyFont="1" applyBorder="1"/>
    <xf numFmtId="43" fontId="0" fillId="0" borderId="1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43" fontId="3" fillId="0" borderId="0" xfId="1" applyFont="1" applyBorder="1"/>
    <xf numFmtId="43" fontId="0" fillId="0" borderId="0" xfId="1" applyFont="1" applyBorder="1"/>
    <xf numFmtId="0" fontId="0" fillId="0" borderId="1" xfId="0" applyBorder="1"/>
    <xf numFmtId="0" fontId="10" fillId="0" borderId="0" xfId="0" applyFont="1" applyAlignment="1">
      <alignment horizontal="left"/>
    </xf>
    <xf numFmtId="43" fontId="1" fillId="0" borderId="0" xfId="1" applyFont="1" applyBorder="1"/>
    <xf numFmtId="0" fontId="0" fillId="0" borderId="0" xfId="0" applyFont="1" applyAlignment="1">
      <alignment horizontal="left"/>
    </xf>
    <xf numFmtId="43" fontId="3" fillId="0" borderId="1" xfId="1" applyFont="1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43" fontId="9" fillId="0" borderId="0" xfId="1" applyFont="1" applyBorder="1"/>
    <xf numFmtId="43" fontId="0" fillId="0" borderId="0" xfId="0" applyNumberFormat="1" applyBorder="1"/>
    <xf numFmtId="164" fontId="0" fillId="0" borderId="0" xfId="3" applyNumberFormat="1" applyFont="1"/>
    <xf numFmtId="0" fontId="8" fillId="0" borderId="0" xfId="0" applyFont="1" applyAlignment="1"/>
    <xf numFmtId="10" fontId="0" fillId="0" borderId="0" xfId="3" applyNumberFormat="1" applyFont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9" fillId="0" borderId="0" xfId="0" applyNumberFormat="1" applyFont="1"/>
    <xf numFmtId="43" fontId="3" fillId="0" borderId="0" xfId="0" applyNumberFormat="1" applyFont="1" applyAlignment="1">
      <alignment horizontal="center"/>
    </xf>
    <xf numFmtId="43" fontId="10" fillId="0" borderId="0" xfId="1" applyFont="1" applyBorder="1"/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44" fontId="0" fillId="0" borderId="4" xfId="2" applyFont="1" applyBorder="1"/>
    <xf numFmtId="0" fontId="12" fillId="0" borderId="4" xfId="6" applyFont="1" applyFill="1" applyBorder="1" applyAlignment="1">
      <alignment horizontal="center" vertical="center" wrapText="1"/>
    </xf>
    <xf numFmtId="43" fontId="3" fillId="0" borderId="4" xfId="0" applyNumberFormat="1" applyFont="1" applyBorder="1" applyAlignment="1">
      <alignment horizontal="center" vertical="center"/>
    </xf>
    <xf numFmtId="0" fontId="0" fillId="0" borderId="13" xfId="0" applyBorder="1"/>
    <xf numFmtId="0" fontId="3" fillId="0" borderId="4" xfId="0" applyFont="1" applyBorder="1"/>
    <xf numFmtId="0" fontId="0" fillId="0" borderId="19" xfId="0" applyBorder="1"/>
    <xf numFmtId="10" fontId="0" fillId="0" borderId="20" xfId="0" applyNumberFormat="1" applyBorder="1"/>
    <xf numFmtId="0" fontId="0" fillId="0" borderId="21" xfId="0" applyBorder="1"/>
    <xf numFmtId="164" fontId="0" fillId="0" borderId="22" xfId="3" applyNumberFormat="1" applyFont="1" applyBorder="1"/>
    <xf numFmtId="43" fontId="0" fillId="0" borderId="22" xfId="1" applyFont="1" applyBorder="1"/>
    <xf numFmtId="165" fontId="0" fillId="0" borderId="22" xfId="0" applyNumberFormat="1" applyBorder="1"/>
    <xf numFmtId="0" fontId="0" fillId="0" borderId="23" xfId="0" applyBorder="1"/>
    <xf numFmtId="1" fontId="0" fillId="0" borderId="24" xfId="0" applyNumberFormat="1" applyBorder="1"/>
    <xf numFmtId="164" fontId="0" fillId="0" borderId="8" xfId="0" applyNumberFormat="1" applyBorder="1"/>
    <xf numFmtId="0" fontId="0" fillId="0" borderId="12" xfId="0" applyFont="1" applyBorder="1" applyAlignment="1"/>
    <xf numFmtId="0" fontId="0" fillId="0" borderId="13" xfId="0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10" fontId="0" fillId="0" borderId="22" xfId="0" applyNumberFormat="1" applyBorder="1"/>
    <xf numFmtId="167" fontId="13" fillId="0" borderId="15" xfId="6" applyNumberFormat="1" applyFont="1" applyFill="1" applyBorder="1"/>
    <xf numFmtId="167" fontId="12" fillId="0" borderId="15" xfId="6" applyNumberFormat="1" applyFont="1" applyFill="1" applyBorder="1"/>
    <xf numFmtId="167" fontId="13" fillId="0" borderId="3" xfId="6" applyNumberFormat="1" applyFont="1" applyFill="1" applyBorder="1"/>
    <xf numFmtId="167" fontId="0" fillId="0" borderId="0" xfId="0" applyNumberFormat="1"/>
    <xf numFmtId="167" fontId="13" fillId="0" borderId="16" xfId="6" applyNumberFormat="1" applyFont="1" applyFill="1" applyBorder="1"/>
    <xf numFmtId="167" fontId="12" fillId="0" borderId="16" xfId="6" applyNumberFormat="1" applyFont="1" applyFill="1" applyBorder="1"/>
    <xf numFmtId="167" fontId="12" fillId="0" borderId="14" xfId="6" applyNumberFormat="1" applyFont="1" applyFill="1" applyBorder="1"/>
    <xf numFmtId="167" fontId="13" fillId="0" borderId="5" xfId="6" applyNumberFormat="1" applyFont="1" applyFill="1" applyBorder="1"/>
    <xf numFmtId="167" fontId="0" fillId="0" borderId="0" xfId="0" applyNumberFormat="1" applyFont="1"/>
    <xf numFmtId="167" fontId="0" fillId="0" borderId="6" xfId="0" applyNumberFormat="1" applyBorder="1"/>
    <xf numFmtId="167" fontId="0" fillId="0" borderId="7" xfId="1" applyNumberFormat="1" applyFont="1" applyBorder="1"/>
    <xf numFmtId="167" fontId="0" fillId="0" borderId="8" xfId="1" applyNumberFormat="1" applyFont="1" applyBorder="1"/>
    <xf numFmtId="167" fontId="0" fillId="0" borderId="9" xfId="0" applyNumberFormat="1" applyBorder="1"/>
    <xf numFmtId="167" fontId="0" fillId="0" borderId="10" xfId="1" applyNumberFormat="1" applyFont="1" applyBorder="1"/>
    <xf numFmtId="167" fontId="0" fillId="0" borderId="8" xfId="0" applyNumberFormat="1" applyBorder="1"/>
    <xf numFmtId="167" fontId="0" fillId="0" borderId="0" xfId="0" applyNumberFormat="1" applyBorder="1"/>
    <xf numFmtId="167" fontId="0" fillId="0" borderId="10" xfId="0" quotePrefix="1" applyNumberFormat="1" applyBorder="1"/>
    <xf numFmtId="167" fontId="0" fillId="0" borderId="11" xfId="0" applyNumberFormat="1" applyBorder="1"/>
    <xf numFmtId="167" fontId="0" fillId="0" borderId="10" xfId="0" applyNumberFormat="1" applyBorder="1"/>
    <xf numFmtId="167" fontId="0" fillId="0" borderId="1" xfId="0" applyNumberFormat="1" applyBorder="1"/>
    <xf numFmtId="167" fontId="3" fillId="0" borderId="0" xfId="0" applyNumberFormat="1" applyFont="1"/>
    <xf numFmtId="0" fontId="14" fillId="7" borderId="14" xfId="5" applyFont="1" applyFill="1" applyBorder="1"/>
    <xf numFmtId="167" fontId="14" fillId="7" borderId="11" xfId="5" applyNumberFormat="1" applyFont="1" applyFill="1" applyBorder="1"/>
    <xf numFmtId="166" fontId="0" fillId="0" borderId="0" xfId="1" applyNumberFormat="1" applyFont="1"/>
    <xf numFmtId="0" fontId="0" fillId="0" borderId="0" xfId="0" applyFill="1" applyAlignment="1">
      <alignment horizontal="left" indent="1"/>
    </xf>
    <xf numFmtId="166" fontId="0" fillId="0" borderId="0" xfId="1" applyNumberFormat="1" applyFont="1" applyAlignment="1">
      <alignment horizontal="left" indent="1"/>
    </xf>
    <xf numFmtId="0" fontId="3" fillId="0" borderId="0" xfId="0" applyFont="1" applyAlignment="1">
      <alignment horizontal="left"/>
    </xf>
    <xf numFmtId="167" fontId="13" fillId="0" borderId="0" xfId="6" applyNumberFormat="1" applyFont="1" applyFill="1" applyBorder="1"/>
    <xf numFmtId="43" fontId="3" fillId="0" borderId="12" xfId="0" applyNumberFormat="1" applyFont="1" applyBorder="1" applyAlignment="1">
      <alignment horizontal="center" vertical="center"/>
    </xf>
    <xf numFmtId="43" fontId="0" fillId="0" borderId="12" xfId="0" applyNumberFormat="1" applyFont="1" applyBorder="1" applyAlignment="1">
      <alignment horizontal="center" vertical="center"/>
    </xf>
    <xf numFmtId="167" fontId="13" fillId="0" borderId="1" xfId="6" applyNumberFormat="1" applyFont="1" applyFill="1" applyBorder="1"/>
    <xf numFmtId="167" fontId="12" fillId="0" borderId="0" xfId="6" applyNumberFormat="1" applyFont="1" applyFill="1" applyBorder="1"/>
    <xf numFmtId="44" fontId="0" fillId="0" borderId="0" xfId="2" applyFont="1" applyBorder="1"/>
    <xf numFmtId="43" fontId="0" fillId="0" borderId="4" xfId="1" applyFont="1" applyBorder="1"/>
    <xf numFmtId="43" fontId="3" fillId="0" borderId="14" xfId="0" applyNumberFormat="1" applyFont="1" applyBorder="1" applyAlignment="1">
      <alignment horizontal="center" vertical="center"/>
    </xf>
    <xf numFmtId="0" fontId="13" fillId="0" borderId="12" xfId="6" applyFont="1" applyFill="1" applyBorder="1" applyAlignment="1">
      <alignment horizontal="left" indent="1"/>
    </xf>
    <xf numFmtId="0" fontId="12" fillId="0" borderId="12" xfId="6" applyFont="1" applyFill="1" applyBorder="1" applyAlignment="1">
      <alignment horizontal="left" vertical="center" wrapText="1"/>
    </xf>
    <xf numFmtId="43" fontId="3" fillId="0" borderId="12" xfId="0" applyNumberFormat="1" applyFont="1" applyBorder="1" applyAlignment="1">
      <alignment horizontal="left" vertical="center"/>
    </xf>
    <xf numFmtId="43" fontId="0" fillId="0" borderId="14" xfId="0" applyNumberFormat="1" applyFont="1" applyBorder="1" applyAlignment="1">
      <alignment horizontal="center" vertical="center"/>
    </xf>
    <xf numFmtId="0" fontId="15" fillId="0" borderId="0" xfId="5" applyFont="1" applyFill="1"/>
    <xf numFmtId="0" fontId="8" fillId="8" borderId="4" xfId="0" applyFont="1" applyFill="1" applyBorder="1" applyAlignment="1"/>
    <xf numFmtId="0" fontId="3" fillId="8" borderId="0" xfId="0" applyFont="1" applyFill="1"/>
    <xf numFmtId="167" fontId="12" fillId="8" borderId="0" xfId="6" applyNumberFormat="1" applyFont="1" applyFill="1" applyBorder="1"/>
    <xf numFmtId="167" fontId="0" fillId="8" borderId="26" xfId="0" applyNumberFormat="1" applyFill="1" applyBorder="1"/>
    <xf numFmtId="167" fontId="0" fillId="8" borderId="27" xfId="0" applyNumberFormat="1" applyFill="1" applyBorder="1"/>
    <xf numFmtId="167" fontId="0" fillId="8" borderId="28" xfId="0" applyNumberFormat="1" applyFill="1" applyBorder="1"/>
    <xf numFmtId="8" fontId="0" fillId="0" borderId="0" xfId="3" applyNumberFormat="1" applyFont="1"/>
    <xf numFmtId="168" fontId="0" fillId="0" borderId="0" xfId="3" applyNumberFormat="1" applyFont="1"/>
    <xf numFmtId="0" fontId="12" fillId="8" borderId="30" xfId="5" applyFont="1" applyFill="1" applyBorder="1"/>
    <xf numFmtId="0" fontId="12" fillId="8" borderId="31" xfId="5" applyFont="1" applyFill="1" applyBorder="1"/>
    <xf numFmtId="167" fontId="10" fillId="8" borderId="29" xfId="0" applyNumberFormat="1" applyFont="1" applyFill="1" applyBorder="1"/>
    <xf numFmtId="10" fontId="10" fillId="8" borderId="23" xfId="3" applyNumberFormat="1" applyFont="1" applyFill="1" applyBorder="1"/>
    <xf numFmtId="167" fontId="10" fillId="8" borderId="30" xfId="0" applyNumberFormat="1" applyFont="1" applyFill="1" applyBorder="1"/>
    <xf numFmtId="10" fontId="10" fillId="8" borderId="31" xfId="3" applyNumberFormat="1" applyFont="1" applyFill="1" applyBorder="1"/>
    <xf numFmtId="10" fontId="0" fillId="0" borderId="0" xfId="3" applyNumberFormat="1" applyFont="1" applyAlignment="1">
      <alignment horizontal="left" indent="1"/>
    </xf>
    <xf numFmtId="0" fontId="8" fillId="8" borderId="26" xfId="0" applyFont="1" applyFill="1" applyBorder="1"/>
    <xf numFmtId="0" fontId="0" fillId="8" borderId="27" xfId="0" applyFill="1" applyBorder="1"/>
    <xf numFmtId="0" fontId="0" fillId="8" borderId="28" xfId="0" applyFill="1" applyBorder="1"/>
    <xf numFmtId="0" fontId="8" fillId="8" borderId="17" xfId="0" applyFont="1" applyFill="1" applyBorder="1" applyAlignment="1">
      <alignment vertical="center"/>
    </xf>
    <xf numFmtId="0" fontId="3" fillId="8" borderId="18" xfId="0" applyFont="1" applyFill="1" applyBorder="1" applyAlignment="1">
      <alignment horizontal="center" vertical="center"/>
    </xf>
    <xf numFmtId="0" fontId="11" fillId="9" borderId="25" xfId="4" applyFont="1" applyFill="1" applyBorder="1" applyAlignment="1">
      <alignment horizontal="center"/>
    </xf>
    <xf numFmtId="0" fontId="11" fillId="9" borderId="22" xfId="4" applyFont="1" applyFill="1" applyBorder="1" applyAlignment="1">
      <alignment horizontal="center"/>
    </xf>
    <xf numFmtId="0" fontId="5" fillId="8" borderId="0" xfId="5" applyFont="1" applyFill="1"/>
    <xf numFmtId="167" fontId="3" fillId="8" borderId="0" xfId="0" applyNumberFormat="1" applyFont="1" applyFill="1"/>
    <xf numFmtId="167" fontId="5" fillId="8" borderId="0" xfId="0" applyNumberFormat="1" applyFont="1" applyFill="1"/>
    <xf numFmtId="169" fontId="0" fillId="0" borderId="0" xfId="0" applyNumberFormat="1"/>
    <xf numFmtId="44" fontId="1" fillId="0" borderId="0" xfId="2" applyFont="1" applyBorder="1" applyAlignment="1">
      <alignment horizontal="left"/>
    </xf>
    <xf numFmtId="0" fontId="0" fillId="6" borderId="32" xfId="0" applyFill="1" applyBorder="1" applyAlignment="1">
      <alignment vertical="center" wrapText="1"/>
    </xf>
    <xf numFmtId="0" fontId="18" fillId="6" borderId="32" xfId="0" applyFont="1" applyFill="1" applyBorder="1" applyAlignment="1">
      <alignment vertical="center" wrapText="1"/>
    </xf>
    <xf numFmtId="0" fontId="19" fillId="6" borderId="32" xfId="0" applyFont="1" applyFill="1" applyBorder="1" applyAlignment="1">
      <alignment vertical="center" wrapText="1"/>
    </xf>
    <xf numFmtId="0" fontId="20" fillId="6" borderId="32" xfId="0" applyFont="1" applyFill="1" applyBorder="1" applyAlignment="1">
      <alignment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0" fillId="0" borderId="38" xfId="0" applyBorder="1"/>
    <xf numFmtId="0" fontId="22" fillId="6" borderId="33" xfId="0" applyFont="1" applyFill="1" applyBorder="1" applyAlignment="1">
      <alignment vertical="center" wrapText="1"/>
    </xf>
    <xf numFmtId="43" fontId="3" fillId="0" borderId="0" xfId="1" applyNumberFormat="1" applyFont="1"/>
    <xf numFmtId="0" fontId="19" fillId="6" borderId="0" xfId="0" applyFont="1" applyFill="1" applyBorder="1" applyAlignment="1">
      <alignment horizontal="center" vertical="center" wrapText="1"/>
    </xf>
    <xf numFmtId="0" fontId="19" fillId="6" borderId="3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3" fillId="0" borderId="0" xfId="0" applyFont="1"/>
    <xf numFmtId="43" fontId="9" fillId="0" borderId="0" xfId="1" applyFont="1"/>
    <xf numFmtId="43" fontId="9" fillId="0" borderId="1" xfId="0" applyNumberFormat="1" applyFont="1" applyBorder="1"/>
    <xf numFmtId="0" fontId="21" fillId="10" borderId="34" xfId="0" applyFont="1" applyFill="1" applyBorder="1" applyAlignment="1">
      <alignment horizontal="center" vertical="center" wrapText="1"/>
    </xf>
    <xf numFmtId="0" fontId="21" fillId="10" borderId="0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21" fillId="10" borderId="36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center" vertical="center" wrapText="1"/>
    </xf>
    <xf numFmtId="167" fontId="3" fillId="8" borderId="4" xfId="0" applyNumberFormat="1" applyFont="1" applyFill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8" fontId="0" fillId="0" borderId="0" xfId="0" applyNumberFormat="1"/>
  </cellXfs>
  <cellStyles count="7">
    <cellStyle name="Accent1" xfId="5" builtinId="29"/>
    <cellStyle name="Accent5" xfId="6" builtinId="45"/>
    <cellStyle name="Comma" xfId="1" builtinId="3"/>
    <cellStyle name="Currency" xfId="2" builtinId="4"/>
    <cellStyle name="Input" xfId="4" builtinId="20"/>
    <cellStyle name="Normal" xfId="0" builtinId="0"/>
    <cellStyle name="Percent" xfId="3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E9" sqref="E9"/>
    </sheetView>
  </sheetViews>
  <sheetFormatPr defaultColWidth="11.42578125" defaultRowHeight="15" x14ac:dyDescent="0.25"/>
  <cols>
    <col min="1" max="1" width="26.85546875" style="3" customWidth="1"/>
    <col min="2" max="2" width="3.28515625" customWidth="1"/>
    <col min="3" max="3" width="12.7109375" style="3" customWidth="1"/>
    <col min="4" max="4" width="3.28515625" style="3" customWidth="1"/>
    <col min="5" max="5" width="12.7109375" style="3" customWidth="1"/>
    <col min="6" max="6" width="3.28515625" style="3" customWidth="1"/>
    <col min="7" max="7" width="15.140625" style="3" customWidth="1"/>
    <col min="8" max="9" width="11.42578125" style="3"/>
  </cols>
  <sheetData>
    <row r="1" spans="1:12" s="2" customFormat="1" x14ac:dyDescent="0.25">
      <c r="A1" s="2" t="s">
        <v>208</v>
      </c>
    </row>
    <row r="2" spans="1:12" s="2" customFormat="1" x14ac:dyDescent="0.25">
      <c r="A2" s="2" t="s">
        <v>209</v>
      </c>
    </row>
    <row r="3" spans="1:12" x14ac:dyDescent="0.25">
      <c r="A3"/>
    </row>
    <row r="4" spans="1:12" x14ac:dyDescent="0.25">
      <c r="A4"/>
    </row>
    <row r="5" spans="1:12" ht="30" x14ac:dyDescent="0.25">
      <c r="C5" s="4" t="s">
        <v>212</v>
      </c>
      <c r="D5" s="4"/>
      <c r="E5" s="4" t="s">
        <v>213</v>
      </c>
      <c r="F5" s="4"/>
      <c r="G5" s="4"/>
      <c r="H5" s="5"/>
    </row>
    <row r="6" spans="1:12" x14ac:dyDescent="0.25">
      <c r="A6" s="6" t="s">
        <v>210</v>
      </c>
      <c r="C6" s="7">
        <v>40000</v>
      </c>
      <c r="D6" s="8"/>
      <c r="E6" s="7">
        <v>20000</v>
      </c>
      <c r="F6" s="8"/>
    </row>
    <row r="7" spans="1:12" x14ac:dyDescent="0.25">
      <c r="A7" s="6" t="s">
        <v>211</v>
      </c>
      <c r="C7" s="7">
        <f>C6/30</f>
        <v>1333.3333333333333</v>
      </c>
      <c r="D7" s="8"/>
      <c r="E7" s="7">
        <f>E6/30</f>
        <v>666.66666666666663</v>
      </c>
      <c r="F7" s="8"/>
    </row>
    <row r="12" spans="1:12" x14ac:dyDescent="0.25">
      <c r="B12" s="3"/>
      <c r="J12" s="3"/>
      <c r="K12" s="3"/>
      <c r="L12" s="3"/>
    </row>
    <row r="13" spans="1:12" x14ac:dyDescent="0.25">
      <c r="B13" s="3"/>
      <c r="J13" s="3"/>
      <c r="K13" s="3"/>
      <c r="L13" s="3"/>
    </row>
    <row r="14" spans="1:12" x14ac:dyDescent="0.25">
      <c r="B14" s="3"/>
      <c r="J14" s="3"/>
      <c r="K14" s="3"/>
      <c r="L14" s="3"/>
    </row>
    <row r="15" spans="1:12" x14ac:dyDescent="0.25">
      <c r="B15" s="3"/>
      <c r="J15" s="3"/>
      <c r="K15" s="3"/>
      <c r="L15" s="3"/>
    </row>
    <row r="16" spans="1:12" x14ac:dyDescent="0.25">
      <c r="B16" s="3"/>
      <c r="J16" s="3"/>
      <c r="K16" s="3"/>
      <c r="L1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zoomScale="80" zoomScaleNormal="80" workbookViewId="0"/>
  </sheetViews>
  <sheetFormatPr defaultRowHeight="15" x14ac:dyDescent="0.25"/>
  <cols>
    <col min="1" max="1" width="79.5703125" customWidth="1"/>
    <col min="2" max="2" width="15.42578125" customWidth="1"/>
    <col min="3" max="4" width="16.7109375" customWidth="1"/>
    <col min="5" max="6" width="20.42578125" customWidth="1"/>
    <col min="7" max="7" width="13.28515625" bestFit="1" customWidth="1"/>
    <col min="8" max="8" width="14.7109375" bestFit="1" customWidth="1"/>
    <col min="9" max="9" width="16.7109375" customWidth="1"/>
    <col min="10" max="10" width="13.140625" customWidth="1"/>
    <col min="11" max="11" width="13" bestFit="1" customWidth="1"/>
    <col min="12" max="12" width="13" customWidth="1"/>
    <col min="13" max="13" width="13.28515625" bestFit="1" customWidth="1"/>
    <col min="14" max="14" width="13" bestFit="1" customWidth="1"/>
    <col min="15" max="15" width="13.140625" customWidth="1"/>
    <col min="16" max="16" width="13.28515625" bestFit="1" customWidth="1"/>
    <col min="17" max="17" width="13" bestFit="1" customWidth="1"/>
    <col min="18" max="18" width="13.140625" customWidth="1"/>
    <col min="19" max="19" width="13.28515625" bestFit="1" customWidth="1"/>
    <col min="20" max="20" width="13" bestFit="1" customWidth="1"/>
    <col min="21" max="21" width="13.140625" customWidth="1"/>
    <col min="22" max="22" width="13.28515625" bestFit="1" customWidth="1"/>
  </cols>
  <sheetData>
    <row r="1" spans="1:22" ht="21" x14ac:dyDescent="0.35">
      <c r="A1" s="9" t="s">
        <v>214</v>
      </c>
    </row>
    <row r="2" spans="1:22" ht="21" x14ac:dyDescent="0.35">
      <c r="A2" s="9"/>
    </row>
    <row r="3" spans="1:22" ht="16.5" x14ac:dyDescent="0.25">
      <c r="A3" s="143" t="s">
        <v>127</v>
      </c>
      <c r="B3" s="143" t="s">
        <v>128</v>
      </c>
      <c r="C3" s="143" t="s">
        <v>129</v>
      </c>
      <c r="D3" s="145" t="s">
        <v>130</v>
      </c>
      <c r="E3" s="142" t="s">
        <v>197</v>
      </c>
      <c r="F3" s="145"/>
      <c r="G3" s="132"/>
      <c r="H3" s="142" t="s">
        <v>217</v>
      </c>
      <c r="I3" s="145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2" ht="16.5" x14ac:dyDescent="0.25">
      <c r="A4" s="144"/>
      <c r="B4" s="144"/>
      <c r="C4" s="144"/>
      <c r="D4" s="146"/>
      <c r="E4" s="132" t="s">
        <v>215</v>
      </c>
      <c r="F4" s="132" t="s">
        <v>216</v>
      </c>
      <c r="G4" s="132"/>
      <c r="H4" s="132" t="s">
        <v>215</v>
      </c>
      <c r="I4" s="132" t="s">
        <v>216</v>
      </c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1:22" ht="15.75" x14ac:dyDescent="0.25">
      <c r="A5" s="129" t="s">
        <v>218</v>
      </c>
      <c r="B5" s="130" t="s">
        <v>131</v>
      </c>
      <c r="C5" s="130" t="s">
        <v>132</v>
      </c>
      <c r="D5" s="130" t="s">
        <v>133</v>
      </c>
      <c r="H5" s="15">
        <f>'Costo Personal'!$C$7*E5</f>
        <v>0</v>
      </c>
      <c r="I5" s="15">
        <f>'Costo Personal'!$C$7*F5</f>
        <v>0</v>
      </c>
    </row>
    <row r="6" spans="1:22" x14ac:dyDescent="0.25">
      <c r="A6" s="130" t="s">
        <v>134</v>
      </c>
      <c r="B6" s="130" t="s">
        <v>135</v>
      </c>
      <c r="C6" s="130" t="s">
        <v>132</v>
      </c>
      <c r="D6" s="130" t="s">
        <v>136</v>
      </c>
      <c r="H6" s="15">
        <f>'Costo Personal'!$C$7*E6</f>
        <v>0</v>
      </c>
      <c r="I6" s="15">
        <f>'Costo Personal'!$C$7*F6</f>
        <v>0</v>
      </c>
    </row>
    <row r="7" spans="1:22" x14ac:dyDescent="0.25">
      <c r="A7" s="131" t="s">
        <v>137</v>
      </c>
      <c r="B7" s="131" t="s">
        <v>138</v>
      </c>
      <c r="C7" s="131" t="s">
        <v>132</v>
      </c>
      <c r="D7" s="131" t="s">
        <v>139</v>
      </c>
      <c r="E7">
        <v>3</v>
      </c>
      <c r="H7" s="15">
        <f>'Costo Personal'!$C$7*E7</f>
        <v>4000</v>
      </c>
      <c r="I7" s="15">
        <f>'Costo Personal'!$C$7*F7</f>
        <v>0</v>
      </c>
    </row>
    <row r="8" spans="1:22" x14ac:dyDescent="0.25">
      <c r="A8" s="131" t="s">
        <v>140</v>
      </c>
      <c r="B8" s="131" t="s">
        <v>141</v>
      </c>
      <c r="C8" s="131" t="s">
        <v>136</v>
      </c>
      <c r="D8" s="131" t="s">
        <v>136</v>
      </c>
      <c r="E8">
        <v>1</v>
      </c>
      <c r="H8" s="15">
        <f>'Costo Personal'!$C$7*E8</f>
        <v>1333.3333333333333</v>
      </c>
      <c r="I8" s="15">
        <f>'Costo Personal'!$C$7*F8</f>
        <v>0</v>
      </c>
    </row>
    <row r="9" spans="1:22" x14ac:dyDescent="0.25">
      <c r="A9" s="130" t="s">
        <v>142</v>
      </c>
      <c r="B9" s="130" t="s">
        <v>143</v>
      </c>
      <c r="C9" s="130" t="s">
        <v>144</v>
      </c>
      <c r="D9" s="130" t="s">
        <v>145</v>
      </c>
      <c r="H9" s="15">
        <f>'Costo Personal'!$C$7*E9</f>
        <v>0</v>
      </c>
      <c r="I9" s="15">
        <f>'Costo Personal'!$C$7*F9</f>
        <v>0</v>
      </c>
    </row>
    <row r="10" spans="1:22" x14ac:dyDescent="0.25">
      <c r="A10" s="131" t="s">
        <v>146</v>
      </c>
      <c r="B10" s="131" t="s">
        <v>141</v>
      </c>
      <c r="C10" s="131" t="s">
        <v>144</v>
      </c>
      <c r="D10" s="131" t="s">
        <v>144</v>
      </c>
      <c r="E10">
        <v>1</v>
      </c>
      <c r="H10" s="15">
        <f>'Costo Personal'!$C$7*E10</f>
        <v>1333.3333333333333</v>
      </c>
      <c r="I10" s="15">
        <f>'Costo Personal'!$C$7*F10</f>
        <v>0</v>
      </c>
    </row>
    <row r="11" spans="1:22" x14ac:dyDescent="0.25">
      <c r="A11" s="131" t="s">
        <v>147</v>
      </c>
      <c r="B11" s="131" t="s">
        <v>141</v>
      </c>
      <c r="C11" s="131" t="s">
        <v>145</v>
      </c>
      <c r="D11" s="131" t="s">
        <v>145</v>
      </c>
      <c r="E11">
        <v>1</v>
      </c>
      <c r="H11" s="15">
        <f>'Costo Personal'!$C$7*E11</f>
        <v>1333.3333333333333</v>
      </c>
      <c r="I11" s="15">
        <f>'Costo Personal'!$C$7*F11</f>
        <v>0</v>
      </c>
    </row>
    <row r="12" spans="1:22" x14ac:dyDescent="0.25">
      <c r="A12" s="130" t="s">
        <v>148</v>
      </c>
      <c r="B12" s="130" t="s">
        <v>135</v>
      </c>
      <c r="C12" s="130" t="s">
        <v>149</v>
      </c>
      <c r="D12" s="130" t="s">
        <v>150</v>
      </c>
      <c r="H12" s="15">
        <f>'Costo Personal'!$C$7*E12</f>
        <v>0</v>
      </c>
      <c r="I12" s="15">
        <f>'Costo Personal'!$C$7*F12</f>
        <v>0</v>
      </c>
    </row>
    <row r="13" spans="1:22" x14ac:dyDescent="0.25">
      <c r="A13" s="131" t="s">
        <v>151</v>
      </c>
      <c r="B13" s="131" t="s">
        <v>143</v>
      </c>
      <c r="C13" s="131" t="s">
        <v>149</v>
      </c>
      <c r="D13" s="131" t="s">
        <v>152</v>
      </c>
      <c r="E13">
        <v>2</v>
      </c>
      <c r="H13" s="15">
        <f>'Costo Personal'!$C$7*E13</f>
        <v>2666.6666666666665</v>
      </c>
      <c r="I13" s="15">
        <f>'Costo Personal'!$C$7*F13</f>
        <v>0</v>
      </c>
    </row>
    <row r="14" spans="1:22" x14ac:dyDescent="0.25">
      <c r="A14" s="131" t="s">
        <v>153</v>
      </c>
      <c r="B14" s="131" t="s">
        <v>138</v>
      </c>
      <c r="C14" s="131" t="s">
        <v>154</v>
      </c>
      <c r="D14" s="131" t="s">
        <v>150</v>
      </c>
      <c r="E14">
        <v>3</v>
      </c>
      <c r="H14" s="15">
        <f>'Costo Personal'!$C$7*E14</f>
        <v>4000</v>
      </c>
      <c r="I14" s="15">
        <f>'Costo Personal'!$C$7*F14</f>
        <v>0</v>
      </c>
    </row>
    <row r="15" spans="1:22" x14ac:dyDescent="0.25">
      <c r="A15" s="130" t="s">
        <v>155</v>
      </c>
      <c r="B15" s="130" t="s">
        <v>156</v>
      </c>
      <c r="C15" s="130" t="s">
        <v>132</v>
      </c>
      <c r="D15" s="130" t="s">
        <v>157</v>
      </c>
      <c r="H15" s="15">
        <f>'Costo Personal'!$C$7*E15</f>
        <v>0</v>
      </c>
      <c r="I15" s="15">
        <f>'Costo Personal'!$C$7*F15</f>
        <v>0</v>
      </c>
    </row>
    <row r="16" spans="1:22" x14ac:dyDescent="0.25">
      <c r="A16" s="130" t="s">
        <v>158</v>
      </c>
      <c r="B16" s="128"/>
      <c r="C16" s="128"/>
      <c r="D16" s="128"/>
      <c r="H16" s="15">
        <f>'Costo Personal'!$C$7*E16</f>
        <v>0</v>
      </c>
      <c r="I16" s="15">
        <f>'Costo Personal'!$C$7*F16</f>
        <v>0</v>
      </c>
    </row>
    <row r="17" spans="1:9" x14ac:dyDescent="0.25">
      <c r="A17" s="131" t="s">
        <v>159</v>
      </c>
      <c r="B17" s="131" t="s">
        <v>160</v>
      </c>
      <c r="C17" s="131" t="s">
        <v>161</v>
      </c>
      <c r="D17" s="131" t="s">
        <v>162</v>
      </c>
      <c r="E17">
        <v>4</v>
      </c>
      <c r="F17">
        <v>3</v>
      </c>
      <c r="H17" s="15">
        <f>'Costo Personal'!$C$7*E17</f>
        <v>5333.333333333333</v>
      </c>
      <c r="I17" s="15">
        <f>'Costo Personal'!$C$7*F17</f>
        <v>4000</v>
      </c>
    </row>
    <row r="18" spans="1:9" x14ac:dyDescent="0.25">
      <c r="A18" s="131" t="s">
        <v>163</v>
      </c>
      <c r="B18" s="131" t="s">
        <v>160</v>
      </c>
      <c r="C18" s="131" t="s">
        <v>164</v>
      </c>
      <c r="D18" s="131" t="s">
        <v>165</v>
      </c>
      <c r="E18">
        <v>4</v>
      </c>
      <c r="F18">
        <v>3</v>
      </c>
      <c r="H18" s="15">
        <f>'Costo Personal'!$C$7*E18</f>
        <v>5333.333333333333</v>
      </c>
      <c r="I18" s="15">
        <f>'Costo Personal'!$C$7*F18</f>
        <v>4000</v>
      </c>
    </row>
    <row r="19" spans="1:9" x14ac:dyDescent="0.25">
      <c r="A19" s="131" t="s">
        <v>166</v>
      </c>
      <c r="B19" s="131" t="s">
        <v>160</v>
      </c>
      <c r="C19" s="131" t="s">
        <v>167</v>
      </c>
      <c r="D19" s="131" t="s">
        <v>168</v>
      </c>
      <c r="E19">
        <v>4</v>
      </c>
      <c r="F19">
        <v>3</v>
      </c>
      <c r="H19" s="15">
        <f>'Costo Personal'!$C$7*E19</f>
        <v>5333.333333333333</v>
      </c>
      <c r="I19" s="15">
        <f>'Costo Personal'!$C$7*F19</f>
        <v>4000</v>
      </c>
    </row>
    <row r="20" spans="1:9" x14ac:dyDescent="0.25">
      <c r="A20" s="130" t="s">
        <v>169</v>
      </c>
      <c r="B20" s="128"/>
      <c r="C20" s="128"/>
      <c r="D20" s="128"/>
      <c r="H20" s="15">
        <f>'Costo Personal'!$C$7*E20</f>
        <v>0</v>
      </c>
      <c r="I20" s="15">
        <f>'Costo Personal'!$C$7*F20</f>
        <v>0</v>
      </c>
    </row>
    <row r="21" spans="1:9" x14ac:dyDescent="0.25">
      <c r="A21" s="131" t="s">
        <v>170</v>
      </c>
      <c r="B21" s="131" t="s">
        <v>141</v>
      </c>
      <c r="C21" s="131" t="s">
        <v>171</v>
      </c>
      <c r="D21" s="131" t="s">
        <v>171</v>
      </c>
      <c r="E21">
        <v>1</v>
      </c>
      <c r="F21">
        <v>1</v>
      </c>
      <c r="H21" s="15">
        <f>'Costo Personal'!$C$7*E21</f>
        <v>1333.3333333333333</v>
      </c>
      <c r="I21" s="15">
        <f>'Costo Personal'!$C$7*F21</f>
        <v>1333.3333333333333</v>
      </c>
    </row>
    <row r="22" spans="1:9" x14ac:dyDescent="0.25">
      <c r="A22" s="131" t="s">
        <v>172</v>
      </c>
      <c r="B22" s="131" t="s">
        <v>141</v>
      </c>
      <c r="C22" s="131" t="s">
        <v>173</v>
      </c>
      <c r="D22" s="131" t="s">
        <v>173</v>
      </c>
      <c r="E22">
        <v>1</v>
      </c>
      <c r="F22">
        <v>1</v>
      </c>
      <c r="H22" s="15">
        <f>'Costo Personal'!$C$7*E22</f>
        <v>1333.3333333333333</v>
      </c>
      <c r="I22" s="15">
        <f>'Costo Personal'!$C$7*F22</f>
        <v>1333.3333333333333</v>
      </c>
    </row>
    <row r="23" spans="1:9" x14ac:dyDescent="0.25">
      <c r="A23" s="131" t="s">
        <v>174</v>
      </c>
      <c r="B23" s="131" t="s">
        <v>141</v>
      </c>
      <c r="C23" s="131" t="s">
        <v>157</v>
      </c>
      <c r="D23" s="131" t="s">
        <v>157</v>
      </c>
      <c r="E23">
        <v>1</v>
      </c>
      <c r="F23">
        <v>1</v>
      </c>
      <c r="H23" s="15">
        <f>'Costo Personal'!$C$7*E23</f>
        <v>1333.3333333333333</v>
      </c>
      <c r="I23" s="15">
        <f>'Costo Personal'!$C$7*F23</f>
        <v>1333.3333333333333</v>
      </c>
    </row>
    <row r="24" spans="1:9" x14ac:dyDescent="0.25">
      <c r="A24" s="130" t="s">
        <v>175</v>
      </c>
      <c r="B24" s="128"/>
      <c r="C24" s="128"/>
      <c r="D24" s="128"/>
      <c r="H24" s="15">
        <f>'Costo Personal'!$C$7*E24</f>
        <v>0</v>
      </c>
      <c r="I24" s="15">
        <f>'Costo Personal'!$C$7*F24</f>
        <v>0</v>
      </c>
    </row>
    <row r="25" spans="1:9" x14ac:dyDescent="0.25">
      <c r="A25" s="131" t="s">
        <v>176</v>
      </c>
      <c r="B25" s="131" t="s">
        <v>160</v>
      </c>
      <c r="C25" s="131" t="s">
        <v>161</v>
      </c>
      <c r="D25" s="131" t="s">
        <v>162</v>
      </c>
      <c r="H25" s="15">
        <f>'Costo Personal'!$C$7*E25</f>
        <v>0</v>
      </c>
      <c r="I25" s="15">
        <f>'Costo Personal'!$C$7*F25</f>
        <v>0</v>
      </c>
    </row>
    <row r="26" spans="1:9" x14ac:dyDescent="0.25">
      <c r="A26" s="131" t="s">
        <v>177</v>
      </c>
      <c r="B26" s="131" t="s">
        <v>160</v>
      </c>
      <c r="C26" s="131" t="s">
        <v>164</v>
      </c>
      <c r="D26" s="131" t="s">
        <v>165</v>
      </c>
      <c r="H26" s="15">
        <f>'Costo Personal'!$C$7*E26</f>
        <v>0</v>
      </c>
      <c r="I26" s="15">
        <f>'Costo Personal'!$C$7*F26</f>
        <v>0</v>
      </c>
    </row>
    <row r="27" spans="1:9" x14ac:dyDescent="0.25">
      <c r="A27" s="131" t="s">
        <v>178</v>
      </c>
      <c r="B27" s="131" t="s">
        <v>160</v>
      </c>
      <c r="C27" s="131" t="s">
        <v>167</v>
      </c>
      <c r="D27" s="131" t="s">
        <v>168</v>
      </c>
      <c r="H27" s="15">
        <f>'Costo Personal'!$C$7*E27</f>
        <v>0</v>
      </c>
      <c r="I27" s="15">
        <f>'Costo Personal'!$C$7*F27</f>
        <v>0</v>
      </c>
    </row>
    <row r="28" spans="1:9" x14ac:dyDescent="0.25">
      <c r="A28" s="131" t="s">
        <v>179</v>
      </c>
      <c r="B28" s="131" t="s">
        <v>180</v>
      </c>
      <c r="C28" s="131" t="s">
        <v>157</v>
      </c>
      <c r="D28" s="131" t="s">
        <v>157</v>
      </c>
      <c r="E28">
        <v>1</v>
      </c>
      <c r="F28">
        <v>1</v>
      </c>
      <c r="H28" s="15">
        <f>'Costo Personal'!$C$7*E28</f>
        <v>1333.3333333333333</v>
      </c>
      <c r="I28" s="15">
        <f>'Costo Personal'!$C$7*F28</f>
        <v>1333.3333333333333</v>
      </c>
    </row>
    <row r="29" spans="1:9" x14ac:dyDescent="0.25">
      <c r="A29" s="131" t="s">
        <v>181</v>
      </c>
      <c r="B29" s="131" t="s">
        <v>182</v>
      </c>
      <c r="C29" s="131" t="s">
        <v>157</v>
      </c>
      <c r="D29" s="131" t="s">
        <v>183</v>
      </c>
      <c r="E29">
        <v>10</v>
      </c>
      <c r="F29">
        <v>4</v>
      </c>
      <c r="H29" s="15">
        <f>'Costo Personal'!$C$7*E29</f>
        <v>13333.333333333332</v>
      </c>
      <c r="I29" s="15">
        <f>'Costo Personal'!$C$7*F29</f>
        <v>5333.333333333333</v>
      </c>
    </row>
    <row r="30" spans="1:9" x14ac:dyDescent="0.25">
      <c r="A30" s="131" t="s">
        <v>184</v>
      </c>
      <c r="B30" s="131" t="s">
        <v>141</v>
      </c>
      <c r="C30" s="131" t="s">
        <v>183</v>
      </c>
      <c r="D30" s="131" t="s">
        <v>185</v>
      </c>
      <c r="E30">
        <v>1</v>
      </c>
      <c r="H30" s="15">
        <f>'Costo Personal'!$C$7*E30</f>
        <v>1333.3333333333333</v>
      </c>
      <c r="I30" s="15">
        <f>'Costo Personal'!$C$7*F30</f>
        <v>0</v>
      </c>
    </row>
    <row r="31" spans="1:9" x14ac:dyDescent="0.25">
      <c r="A31" s="131" t="s">
        <v>186</v>
      </c>
      <c r="B31" s="131" t="s">
        <v>187</v>
      </c>
      <c r="C31" s="131" t="s">
        <v>185</v>
      </c>
      <c r="D31" s="131" t="s">
        <v>133</v>
      </c>
      <c r="E31" s="133">
        <v>6</v>
      </c>
      <c r="F31" s="23"/>
      <c r="H31" s="17">
        <f>'Costo Personal'!$C$7*E31</f>
        <v>8000</v>
      </c>
      <c r="I31" s="17">
        <f>'Costo Personal'!$C$7*F31</f>
        <v>0</v>
      </c>
    </row>
    <row r="32" spans="1:9" ht="18.75" x14ac:dyDescent="0.3">
      <c r="E32" s="10">
        <f>SUM(E5:E31)</f>
        <v>44</v>
      </c>
      <c r="F32" s="10">
        <f>SUM(F5:F31)</f>
        <v>17</v>
      </c>
      <c r="G32" s="139"/>
      <c r="H32" s="140">
        <f t="shared" ref="H32:I32" si="0">SUM(H5:H31)</f>
        <v>58666.666666666664</v>
      </c>
      <c r="I32" s="140">
        <f t="shared" si="0"/>
        <v>22666.666666666668</v>
      </c>
    </row>
    <row r="33" spans="1:22" ht="18.75" x14ac:dyDescent="0.3">
      <c r="F33" s="10">
        <f>E32+F32</f>
        <v>61</v>
      </c>
      <c r="I33" s="38">
        <f>H32+I32</f>
        <v>81333.333333333328</v>
      </c>
    </row>
    <row r="35" spans="1:22" ht="21" x14ac:dyDescent="0.35">
      <c r="A35" s="9" t="s">
        <v>126</v>
      </c>
    </row>
    <row r="36" spans="1:22" ht="16.5" x14ac:dyDescent="0.25">
      <c r="A36" s="143" t="s">
        <v>127</v>
      </c>
      <c r="B36" s="143" t="s">
        <v>128</v>
      </c>
      <c r="C36" s="143" t="s">
        <v>129</v>
      </c>
      <c r="D36" s="145" t="s">
        <v>130</v>
      </c>
      <c r="E36" s="142" t="s">
        <v>191</v>
      </c>
      <c r="F36" s="143"/>
      <c r="G36" s="143"/>
      <c r="H36" s="142" t="s">
        <v>192</v>
      </c>
      <c r="I36" s="143"/>
      <c r="J36" s="143"/>
      <c r="K36" s="142" t="s">
        <v>193</v>
      </c>
      <c r="L36" s="143"/>
      <c r="M36" s="143"/>
      <c r="N36" s="142" t="s">
        <v>194</v>
      </c>
      <c r="O36" s="143"/>
      <c r="P36" s="143"/>
      <c r="Q36" s="142" t="s">
        <v>195</v>
      </c>
      <c r="R36" s="143"/>
      <c r="S36" s="143"/>
      <c r="T36" s="142" t="s">
        <v>196</v>
      </c>
      <c r="U36" s="143"/>
      <c r="V36" s="143"/>
    </row>
    <row r="37" spans="1:22" ht="33" x14ac:dyDescent="0.25">
      <c r="A37" s="144"/>
      <c r="B37" s="144"/>
      <c r="C37" s="144"/>
      <c r="D37" s="146"/>
      <c r="E37" s="132" t="s">
        <v>188</v>
      </c>
      <c r="F37" s="132" t="s">
        <v>189</v>
      </c>
      <c r="G37" s="132" t="s">
        <v>190</v>
      </c>
      <c r="H37" s="132" t="s">
        <v>188</v>
      </c>
      <c r="I37" s="132" t="s">
        <v>189</v>
      </c>
      <c r="J37" s="132" t="s">
        <v>190</v>
      </c>
      <c r="K37" s="132" t="s">
        <v>188</v>
      </c>
      <c r="L37" s="132" t="s">
        <v>189</v>
      </c>
      <c r="M37" s="132" t="s">
        <v>190</v>
      </c>
      <c r="N37" s="132" t="s">
        <v>188</v>
      </c>
      <c r="O37" s="132" t="s">
        <v>189</v>
      </c>
      <c r="P37" s="132" t="s">
        <v>190</v>
      </c>
      <c r="Q37" s="132" t="s">
        <v>188</v>
      </c>
      <c r="R37" s="132" t="s">
        <v>189</v>
      </c>
      <c r="S37" s="132" t="s">
        <v>190</v>
      </c>
      <c r="T37" s="132" t="s">
        <v>188</v>
      </c>
      <c r="U37" s="132" t="s">
        <v>189</v>
      </c>
      <c r="V37" s="132" t="s">
        <v>190</v>
      </c>
    </row>
    <row r="38" spans="1:22" ht="15.75" x14ac:dyDescent="0.25">
      <c r="A38" s="129" t="str">
        <f>A5</f>
        <v>Consultoría especializada en desarrollo de software</v>
      </c>
      <c r="B38" s="130" t="s">
        <v>131</v>
      </c>
      <c r="C38" s="130" t="s">
        <v>132</v>
      </c>
      <c r="D38" s="130" t="s">
        <v>133</v>
      </c>
    </row>
    <row r="39" spans="1:22" x14ac:dyDescent="0.25">
      <c r="A39" s="130" t="str">
        <f t="shared" ref="A39:D64" si="1">A6</f>
        <v xml:space="preserve">   Fase 1. Negociación inicial</v>
      </c>
      <c r="B39" s="130" t="s">
        <v>135</v>
      </c>
      <c r="C39" s="130" t="s">
        <v>132</v>
      </c>
      <c r="D39" s="130" t="s">
        <v>136</v>
      </c>
    </row>
    <row r="40" spans="1:22" x14ac:dyDescent="0.25">
      <c r="A40" s="131" t="str">
        <f t="shared" si="1"/>
        <v xml:space="preserve">      Definición de la declaración del alcance</v>
      </c>
      <c r="B40" s="131" t="s">
        <v>138</v>
      </c>
      <c r="C40" s="131" t="s">
        <v>132</v>
      </c>
      <c r="D40" s="131" t="s">
        <v>139</v>
      </c>
      <c r="E40">
        <v>2</v>
      </c>
      <c r="G40">
        <v>0.35</v>
      </c>
    </row>
    <row r="41" spans="1:22" x14ac:dyDescent="0.25">
      <c r="A41" s="131" t="str">
        <f t="shared" si="1"/>
        <v xml:space="preserve">      Firma del contrato</v>
      </c>
      <c r="B41" s="131" t="s">
        <v>141</v>
      </c>
      <c r="C41" s="131" t="s">
        <v>136</v>
      </c>
      <c r="D41" s="131" t="s">
        <v>136</v>
      </c>
    </row>
    <row r="42" spans="1:22" x14ac:dyDescent="0.25">
      <c r="A42" s="130" t="str">
        <f t="shared" si="1"/>
        <v xml:space="preserve">   Fase 2. Establecimiento del esquema de trabajo</v>
      </c>
      <c r="B42" s="130" t="s">
        <v>143</v>
      </c>
      <c r="C42" s="130" t="s">
        <v>144</v>
      </c>
      <c r="D42" s="130" t="s">
        <v>145</v>
      </c>
    </row>
    <row r="43" spans="1:22" x14ac:dyDescent="0.25">
      <c r="A43" s="131" t="str">
        <f t="shared" si="1"/>
        <v xml:space="preserve">      Gestón del proyecto</v>
      </c>
      <c r="B43" s="131" t="s">
        <v>141</v>
      </c>
      <c r="C43" s="131" t="s">
        <v>144</v>
      </c>
      <c r="D43" s="131" t="s">
        <v>144</v>
      </c>
      <c r="H43">
        <v>1</v>
      </c>
      <c r="I43">
        <v>1</v>
      </c>
      <c r="J43">
        <v>1</v>
      </c>
    </row>
    <row r="44" spans="1:22" x14ac:dyDescent="0.25">
      <c r="A44" s="131" t="str">
        <f t="shared" si="1"/>
        <v xml:space="preserve">      Esquema de desarrollo</v>
      </c>
      <c r="B44" s="131" t="s">
        <v>141</v>
      </c>
      <c r="C44" s="131" t="s">
        <v>145</v>
      </c>
      <c r="D44" s="131" t="s">
        <v>145</v>
      </c>
      <c r="I44">
        <v>1</v>
      </c>
      <c r="J44">
        <v>1</v>
      </c>
    </row>
    <row r="45" spans="1:22" x14ac:dyDescent="0.25">
      <c r="A45" s="130" t="str">
        <f t="shared" si="1"/>
        <v xml:space="preserve">   Fase 3. Identificación de requerimientos y diseño</v>
      </c>
      <c r="B45" s="130" t="s">
        <v>135</v>
      </c>
      <c r="C45" s="130" t="s">
        <v>149</v>
      </c>
      <c r="D45" s="130" t="s">
        <v>150</v>
      </c>
    </row>
    <row r="46" spans="1:22" x14ac:dyDescent="0.25">
      <c r="A46" s="131" t="str">
        <f t="shared" si="1"/>
        <v xml:space="preserve">      Diseño del modelo conceptual</v>
      </c>
      <c r="B46" s="131" t="s">
        <v>143</v>
      </c>
      <c r="C46" s="131" t="s">
        <v>149</v>
      </c>
      <c r="D46" s="131" t="s">
        <v>152</v>
      </c>
      <c r="I46">
        <v>2</v>
      </c>
      <c r="J46">
        <v>2</v>
      </c>
    </row>
    <row r="47" spans="1:22" x14ac:dyDescent="0.25">
      <c r="A47" s="131" t="str">
        <f t="shared" si="1"/>
        <v xml:space="preserve">      Documentación de requerimientos</v>
      </c>
      <c r="B47" s="131" t="s">
        <v>138</v>
      </c>
      <c r="C47" s="131" t="s">
        <v>154</v>
      </c>
      <c r="D47" s="131" t="s">
        <v>150</v>
      </c>
      <c r="I47">
        <v>2</v>
      </c>
      <c r="J47">
        <v>2</v>
      </c>
    </row>
    <row r="48" spans="1:22" x14ac:dyDescent="0.25">
      <c r="A48" s="130" t="str">
        <f t="shared" si="1"/>
        <v xml:space="preserve">   Fase 4. Desarrollo</v>
      </c>
      <c r="B48" s="130" t="s">
        <v>156</v>
      </c>
      <c r="C48" s="130" t="s">
        <v>132</v>
      </c>
      <c r="D48" s="130" t="s">
        <v>157</v>
      </c>
    </row>
    <row r="49" spans="1:22" x14ac:dyDescent="0.25">
      <c r="A49" s="130" t="str">
        <f t="shared" si="1"/>
        <v xml:space="preserve">      Codificación</v>
      </c>
      <c r="B49" s="128"/>
      <c r="C49" s="128"/>
      <c r="D49" s="128"/>
    </row>
    <row r="50" spans="1:22" x14ac:dyDescent="0.25">
      <c r="A50" s="131" t="str">
        <f t="shared" si="1"/>
        <v xml:space="preserve">         Codificación 1</v>
      </c>
      <c r="B50" s="131" t="s">
        <v>160</v>
      </c>
      <c r="C50" s="131" t="s">
        <v>161</v>
      </c>
      <c r="D50" s="131" t="s">
        <v>162</v>
      </c>
    </row>
    <row r="51" spans="1:22" x14ac:dyDescent="0.25">
      <c r="A51" s="131" t="str">
        <f t="shared" si="1"/>
        <v xml:space="preserve">         Codificación 2</v>
      </c>
      <c r="B51" s="131" t="s">
        <v>160</v>
      </c>
      <c r="C51" s="131" t="s">
        <v>164</v>
      </c>
      <c r="D51" s="131" t="s">
        <v>165</v>
      </c>
    </row>
    <row r="52" spans="1:22" x14ac:dyDescent="0.25">
      <c r="A52" s="131" t="str">
        <f t="shared" si="1"/>
        <v xml:space="preserve">         Codificación 3</v>
      </c>
      <c r="B52" s="131" t="s">
        <v>160</v>
      </c>
      <c r="C52" s="131" t="s">
        <v>167</v>
      </c>
      <c r="D52" s="131" t="s">
        <v>168</v>
      </c>
    </row>
    <row r="53" spans="1:22" x14ac:dyDescent="0.25">
      <c r="A53" s="130" t="str">
        <f t="shared" si="1"/>
        <v xml:space="preserve">      Entrega</v>
      </c>
      <c r="B53" s="128"/>
      <c r="C53" s="128"/>
      <c r="D53" s="128"/>
    </row>
    <row r="54" spans="1:22" x14ac:dyDescent="0.25">
      <c r="A54" s="131" t="str">
        <f t="shared" si="1"/>
        <v xml:space="preserve">         Entrega 1</v>
      </c>
      <c r="B54" s="131" t="s">
        <v>141</v>
      </c>
      <c r="C54" s="131" t="s">
        <v>171</v>
      </c>
      <c r="D54" s="131" t="s">
        <v>171</v>
      </c>
      <c r="H54">
        <v>1</v>
      </c>
      <c r="J54">
        <v>0.35</v>
      </c>
    </row>
    <row r="55" spans="1:22" x14ac:dyDescent="0.25">
      <c r="A55" s="131" t="str">
        <f t="shared" si="1"/>
        <v xml:space="preserve">         Entrega 2</v>
      </c>
      <c r="B55" s="131" t="s">
        <v>141</v>
      </c>
      <c r="C55" s="131" t="s">
        <v>173</v>
      </c>
      <c r="D55" s="131" t="s">
        <v>173</v>
      </c>
      <c r="H55">
        <v>1</v>
      </c>
      <c r="J55">
        <v>0.35</v>
      </c>
    </row>
    <row r="56" spans="1:22" x14ac:dyDescent="0.25">
      <c r="A56" s="131" t="str">
        <f t="shared" si="1"/>
        <v xml:space="preserve">         Entrega 3</v>
      </c>
      <c r="B56" s="131" t="s">
        <v>141</v>
      </c>
      <c r="C56" s="131" t="s">
        <v>157</v>
      </c>
      <c r="D56" s="131" t="s">
        <v>157</v>
      </c>
      <c r="K56">
        <v>1</v>
      </c>
      <c r="M56">
        <v>0.35</v>
      </c>
    </row>
    <row r="57" spans="1:22" x14ac:dyDescent="0.25">
      <c r="A57" s="130" t="str">
        <f t="shared" si="1"/>
        <v xml:space="preserve">      Validación y pruebas</v>
      </c>
      <c r="B57" s="128"/>
      <c r="C57" s="128"/>
      <c r="D57" s="128"/>
    </row>
    <row r="58" spans="1:22" x14ac:dyDescent="0.25">
      <c r="A58" s="131" t="str">
        <f t="shared" si="1"/>
        <v xml:space="preserve">         Validación y pruebas 1</v>
      </c>
      <c r="B58" s="131" t="s">
        <v>160</v>
      </c>
      <c r="C58" s="131" t="s">
        <v>161</v>
      </c>
      <c r="D58" s="131" t="s">
        <v>162</v>
      </c>
    </row>
    <row r="59" spans="1:22" x14ac:dyDescent="0.25">
      <c r="A59" s="131" t="str">
        <f t="shared" si="1"/>
        <v xml:space="preserve">         Validación y pruebas 2</v>
      </c>
      <c r="B59" s="131" t="s">
        <v>160</v>
      </c>
      <c r="C59" s="131" t="s">
        <v>164</v>
      </c>
      <c r="D59" s="131" t="s">
        <v>165</v>
      </c>
    </row>
    <row r="60" spans="1:22" x14ac:dyDescent="0.25">
      <c r="A60" s="131" t="str">
        <f t="shared" si="1"/>
        <v xml:space="preserve">         Validación y pruebas 3</v>
      </c>
      <c r="B60" s="131" t="s">
        <v>160</v>
      </c>
      <c r="C60" s="131" t="s">
        <v>167</v>
      </c>
      <c r="D60" s="131" t="s">
        <v>168</v>
      </c>
    </row>
    <row r="61" spans="1:22" x14ac:dyDescent="0.25">
      <c r="A61" s="131" t="str">
        <f t="shared" si="1"/>
        <v xml:space="preserve">   Entrega de versión beta</v>
      </c>
      <c r="B61" s="131" t="s">
        <v>180</v>
      </c>
      <c r="C61" s="131" t="s">
        <v>157</v>
      </c>
      <c r="D61" s="131" t="s">
        <v>157</v>
      </c>
      <c r="K61">
        <v>1</v>
      </c>
      <c r="M61">
        <v>0.35</v>
      </c>
    </row>
    <row r="62" spans="1:22" x14ac:dyDescent="0.25">
      <c r="A62" s="131" t="str">
        <f t="shared" si="1"/>
        <v xml:space="preserve">   Pruebas finales para aceptación</v>
      </c>
      <c r="B62" s="131" t="s">
        <v>182</v>
      </c>
      <c r="C62" s="131" t="s">
        <v>157</v>
      </c>
      <c r="D62" s="131" t="s">
        <v>183</v>
      </c>
      <c r="K62">
        <v>3</v>
      </c>
      <c r="M62">
        <v>0.35</v>
      </c>
      <c r="N62">
        <v>5</v>
      </c>
      <c r="P62">
        <v>0.35</v>
      </c>
      <c r="Q62">
        <v>5</v>
      </c>
      <c r="S62">
        <v>0.35</v>
      </c>
    </row>
    <row r="63" spans="1:22" x14ac:dyDescent="0.25">
      <c r="A63" s="131" t="str">
        <f t="shared" si="1"/>
        <v xml:space="preserve">   Fase 5. Entregable final de la solución</v>
      </c>
      <c r="B63" s="131" t="s">
        <v>141</v>
      </c>
      <c r="C63" s="131" t="s">
        <v>183</v>
      </c>
      <c r="D63" s="131" t="s">
        <v>185</v>
      </c>
      <c r="T63">
        <v>1</v>
      </c>
      <c r="V63">
        <v>0.35</v>
      </c>
    </row>
    <row r="64" spans="1:22" x14ac:dyDescent="0.25">
      <c r="A64" s="131" t="str">
        <f t="shared" si="1"/>
        <v xml:space="preserve">   Fase 6. Cierre</v>
      </c>
      <c r="B64" s="131" t="s">
        <v>187</v>
      </c>
      <c r="C64" s="131" t="s">
        <v>185</v>
      </c>
      <c r="D64" s="131" t="s">
        <v>133</v>
      </c>
      <c r="E64" s="13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>
        <v>1</v>
      </c>
      <c r="U64" s="23"/>
      <c r="V64" s="23">
        <v>0.35</v>
      </c>
    </row>
    <row r="65" spans="1:22" ht="18.75" x14ac:dyDescent="0.25">
      <c r="D65" s="134" t="s">
        <v>200</v>
      </c>
      <c r="E65" s="135">
        <f>SUM(E38:E64)</f>
        <v>2</v>
      </c>
      <c r="F65" s="135">
        <f t="shared" ref="F65:V65" si="2">SUM(F38:F64)</f>
        <v>0</v>
      </c>
      <c r="G65" s="135">
        <f t="shared" si="2"/>
        <v>0.35</v>
      </c>
      <c r="H65" s="135">
        <f t="shared" si="2"/>
        <v>3</v>
      </c>
      <c r="I65" s="135">
        <f t="shared" si="2"/>
        <v>6</v>
      </c>
      <c r="J65" s="135">
        <f t="shared" si="2"/>
        <v>6.6999999999999993</v>
      </c>
      <c r="K65" s="135">
        <f t="shared" si="2"/>
        <v>5</v>
      </c>
      <c r="L65" s="135">
        <f t="shared" si="2"/>
        <v>0</v>
      </c>
      <c r="M65" s="135">
        <f t="shared" si="2"/>
        <v>1.0499999999999998</v>
      </c>
      <c r="N65" s="135">
        <f t="shared" si="2"/>
        <v>5</v>
      </c>
      <c r="O65" s="135">
        <f t="shared" si="2"/>
        <v>0</v>
      </c>
      <c r="P65" s="135">
        <f t="shared" si="2"/>
        <v>0.35</v>
      </c>
      <c r="Q65" s="135">
        <f t="shared" si="2"/>
        <v>5</v>
      </c>
      <c r="R65" s="135">
        <f t="shared" si="2"/>
        <v>0</v>
      </c>
      <c r="S65" s="135">
        <f t="shared" si="2"/>
        <v>0.35</v>
      </c>
      <c r="T65" s="135">
        <f t="shared" si="2"/>
        <v>2</v>
      </c>
      <c r="U65" s="135">
        <f t="shared" si="2"/>
        <v>0</v>
      </c>
      <c r="V65" s="135">
        <f t="shared" si="2"/>
        <v>0.7</v>
      </c>
    </row>
    <row r="66" spans="1:22" ht="18.75" x14ac:dyDescent="0.3">
      <c r="D66" s="134" t="s">
        <v>201</v>
      </c>
      <c r="E66" s="38">
        <f>E65*($B$69+$B$70)</f>
        <v>1836</v>
      </c>
      <c r="F66" s="38">
        <f>F65*$B$71</f>
        <v>0</v>
      </c>
      <c r="G66" s="38">
        <f>G65*$B$72</f>
        <v>175</v>
      </c>
      <c r="H66" s="38">
        <f>H65*($B$69+$B$70)</f>
        <v>2754</v>
      </c>
      <c r="I66" s="38">
        <f>I65*$B$71</f>
        <v>4800</v>
      </c>
      <c r="J66" s="38">
        <f>J65*$B$72</f>
        <v>3349.9999999999995</v>
      </c>
      <c r="K66" s="38">
        <f>K65*($B$69+$B$70)</f>
        <v>4590</v>
      </c>
      <c r="L66" s="38">
        <f>L65*$B$71</f>
        <v>0</v>
      </c>
      <c r="M66" s="38">
        <f>M65*$B$72</f>
        <v>524.99999999999989</v>
      </c>
      <c r="N66" s="38">
        <f>N65*($B$69+$B$70)</f>
        <v>4590</v>
      </c>
      <c r="O66" s="38">
        <f>O65*$B$71</f>
        <v>0</v>
      </c>
      <c r="P66" s="38">
        <f>P65*$B$72</f>
        <v>175</v>
      </c>
      <c r="Q66" s="38">
        <f>Q65*($B$69+$B$70)</f>
        <v>4590</v>
      </c>
      <c r="R66" s="38">
        <f>R65*$B$71</f>
        <v>0</v>
      </c>
      <c r="S66" s="38">
        <f>S65*$B$72</f>
        <v>175</v>
      </c>
      <c r="T66" s="38">
        <f>T65*($B$69+$B$70)</f>
        <v>1836</v>
      </c>
      <c r="U66" s="38">
        <f>U65*$B$71</f>
        <v>0</v>
      </c>
      <c r="V66" s="38">
        <f>V65*$B$72</f>
        <v>350</v>
      </c>
    </row>
    <row r="68" spans="1:22" ht="21" x14ac:dyDescent="0.35">
      <c r="A68" s="9" t="s">
        <v>202</v>
      </c>
      <c r="B68" s="136" t="s">
        <v>203</v>
      </c>
      <c r="C68" s="137" t="s">
        <v>28</v>
      </c>
    </row>
    <row r="69" spans="1:22" ht="18.75" x14ac:dyDescent="0.3">
      <c r="A69" t="s">
        <v>11</v>
      </c>
      <c r="B69" s="15">
        <f>(29+65+65)*2</f>
        <v>318</v>
      </c>
      <c r="C69" s="38">
        <f>(E$65+H$65+K$65+N$65+Q$65+T$65)*$B69</f>
        <v>6996</v>
      </c>
    </row>
    <row r="70" spans="1:22" ht="18.75" x14ac:dyDescent="0.3">
      <c r="A70" t="s">
        <v>198</v>
      </c>
      <c r="B70" s="15">
        <v>600</v>
      </c>
      <c r="C70" s="38">
        <f>(E$65+H$65+K$65+N$65+Q$65+T$65)*$B70</f>
        <v>13200</v>
      </c>
    </row>
    <row r="71" spans="1:22" ht="18.75" x14ac:dyDescent="0.3">
      <c r="A71" t="s">
        <v>13</v>
      </c>
      <c r="B71" s="15">
        <v>800</v>
      </c>
      <c r="C71" s="38">
        <f>F66+I66+L66+O66+R66+U66</f>
        <v>4800</v>
      </c>
    </row>
    <row r="72" spans="1:22" ht="18.75" x14ac:dyDescent="0.3">
      <c r="A72" t="s">
        <v>199</v>
      </c>
      <c r="B72" s="15">
        <v>500</v>
      </c>
      <c r="C72" s="141">
        <f>G66+J66+M66+P66+S66+V66</f>
        <v>4750</v>
      </c>
    </row>
    <row r="73" spans="1:22" ht="18.75" x14ac:dyDescent="0.3">
      <c r="A73" s="138" t="s">
        <v>28</v>
      </c>
      <c r="C73" s="38">
        <f>SUM(C69:C72)</f>
        <v>29746</v>
      </c>
    </row>
  </sheetData>
  <mergeCells count="16">
    <mergeCell ref="T36:V36"/>
    <mergeCell ref="A3:A4"/>
    <mergeCell ref="B3:B4"/>
    <mergeCell ref="C3:C4"/>
    <mergeCell ref="D3:D4"/>
    <mergeCell ref="A36:A37"/>
    <mergeCell ref="B36:B37"/>
    <mergeCell ref="C36:C37"/>
    <mergeCell ref="D36:D37"/>
    <mergeCell ref="E3:F3"/>
    <mergeCell ref="H3:I3"/>
    <mergeCell ref="E36:G36"/>
    <mergeCell ref="H36:J36"/>
    <mergeCell ref="K36:M36"/>
    <mergeCell ref="N36:P36"/>
    <mergeCell ref="Q36:S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="80" zoomScaleNormal="80" workbookViewId="0">
      <selection activeCell="C5" sqref="C5"/>
    </sheetView>
  </sheetViews>
  <sheetFormatPr defaultRowHeight="15" x14ac:dyDescent="0.25"/>
  <cols>
    <col min="1" max="1" width="46.5703125" customWidth="1"/>
    <col min="2" max="2" width="11.5703125" bestFit="1" customWidth="1"/>
    <col min="3" max="15" width="13.5703125" customWidth="1"/>
    <col min="16" max="16" width="16" customWidth="1"/>
    <col min="17" max="19" width="13.85546875" customWidth="1"/>
    <col min="20" max="20" width="16" bestFit="1" customWidth="1"/>
    <col min="21" max="21" width="23.28515625" customWidth="1"/>
  </cols>
  <sheetData>
    <row r="1" spans="1:20" ht="21" x14ac:dyDescent="0.35">
      <c r="A1" s="9" t="s">
        <v>0</v>
      </c>
    </row>
    <row r="3" spans="1:20" ht="18.75" x14ac:dyDescent="0.25">
      <c r="A3" s="37" t="s">
        <v>1</v>
      </c>
      <c r="C3" s="36" t="s">
        <v>51</v>
      </c>
      <c r="D3" s="36" t="s">
        <v>52</v>
      </c>
      <c r="E3" s="36" t="s">
        <v>53</v>
      </c>
      <c r="F3" s="36" t="s">
        <v>54</v>
      </c>
      <c r="G3" s="36" t="s">
        <v>55</v>
      </c>
      <c r="H3" s="36" t="s">
        <v>56</v>
      </c>
      <c r="I3" s="36"/>
      <c r="J3" s="36"/>
      <c r="K3" s="36"/>
      <c r="L3" s="36"/>
      <c r="M3" s="36"/>
      <c r="N3" s="36"/>
      <c r="O3" s="36"/>
      <c r="P3" s="11" t="s">
        <v>28</v>
      </c>
      <c r="Q3" s="11"/>
      <c r="R3" s="11"/>
      <c r="S3" s="11"/>
      <c r="T3" s="11"/>
    </row>
    <row r="4" spans="1:20" ht="15.75" x14ac:dyDescent="0.25">
      <c r="A4" s="12" t="s">
        <v>2</v>
      </c>
      <c r="P4" s="13"/>
      <c r="Q4" s="11"/>
      <c r="R4" s="11"/>
      <c r="S4" s="11"/>
      <c r="T4" s="11"/>
    </row>
    <row r="5" spans="1:20" ht="15.75" x14ac:dyDescent="0.25">
      <c r="A5" s="14" t="s">
        <v>219</v>
      </c>
      <c r="C5" s="15">
        <v>0</v>
      </c>
      <c r="D5" s="15">
        <v>0</v>
      </c>
      <c r="E5" s="15">
        <v>45000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0">
        <f>SUM(C5:O5)</f>
        <v>45000</v>
      </c>
      <c r="Q5" s="11"/>
      <c r="R5" s="11"/>
      <c r="S5" s="11"/>
      <c r="T5" s="11"/>
    </row>
    <row r="6" spans="1:20" ht="15.75" x14ac:dyDescent="0.25">
      <c r="A6" s="14" t="s">
        <v>220</v>
      </c>
      <c r="C6" s="17">
        <v>0</v>
      </c>
      <c r="D6" s="17">
        <v>0</v>
      </c>
      <c r="E6" s="17">
        <v>30000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27">
        <f>SUM(C6:O6)</f>
        <v>30000</v>
      </c>
      <c r="Q6" s="11"/>
      <c r="R6" s="11"/>
      <c r="S6" s="11"/>
      <c r="T6" s="11"/>
    </row>
    <row r="7" spans="1:20" ht="15.75" x14ac:dyDescent="0.25">
      <c r="A7" s="19" t="s">
        <v>3</v>
      </c>
      <c r="C7" s="20">
        <f>SUM(C5:C6)</f>
        <v>0</v>
      </c>
      <c r="D7" s="20">
        <f t="shared" ref="D7:O7" si="0">SUM(D5:D6)</f>
        <v>0</v>
      </c>
      <c r="E7" s="20">
        <f t="shared" si="0"/>
        <v>75000</v>
      </c>
      <c r="F7" s="20">
        <f t="shared" si="0"/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>SUM(P5:P6)</f>
        <v>75000</v>
      </c>
      <c r="Q7" s="11"/>
      <c r="R7" s="11"/>
      <c r="S7" s="11"/>
      <c r="T7" s="11"/>
    </row>
    <row r="8" spans="1:20" ht="15.75" x14ac:dyDescent="0.25">
      <c r="A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11"/>
      <c r="R8" s="11"/>
      <c r="S8" s="11"/>
      <c r="T8" s="11"/>
    </row>
    <row r="9" spans="1:20" ht="15.75" x14ac:dyDescent="0.25">
      <c r="A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0"/>
      <c r="Q9" s="11"/>
      <c r="R9" s="11"/>
      <c r="S9" s="11"/>
      <c r="T9" s="11"/>
    </row>
    <row r="10" spans="1:20" ht="15.75" x14ac:dyDescent="0.25">
      <c r="A10" s="12" t="s">
        <v>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11"/>
      <c r="R10" s="11"/>
      <c r="S10" s="11"/>
      <c r="T10" s="11"/>
    </row>
    <row r="11" spans="1:20" ht="15.75" x14ac:dyDescent="0.25">
      <c r="A11" s="14" t="s">
        <v>204</v>
      </c>
      <c r="C11" s="15">
        <v>0</v>
      </c>
      <c r="D11" s="15">
        <v>0</v>
      </c>
      <c r="E11" s="15">
        <v>0</v>
      </c>
      <c r="F11" s="15">
        <v>2000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0">
        <f>SUM(C11:O11)</f>
        <v>2000</v>
      </c>
      <c r="Q11" s="11"/>
      <c r="R11" s="11"/>
      <c r="S11" s="11"/>
      <c r="T11" s="11"/>
    </row>
    <row r="12" spans="1:20" ht="15.75" x14ac:dyDescent="0.25">
      <c r="A12" s="14"/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27">
        <f>SUM(C12:O12)</f>
        <v>0</v>
      </c>
      <c r="Q12" s="11"/>
      <c r="R12" s="11"/>
      <c r="S12" s="11"/>
      <c r="T12" s="11"/>
    </row>
    <row r="13" spans="1:20" ht="15.75" x14ac:dyDescent="0.25">
      <c r="A13" s="19" t="s">
        <v>5</v>
      </c>
      <c r="C13" s="20">
        <f>SUM(C11:C12)</f>
        <v>0</v>
      </c>
      <c r="D13" s="20">
        <f t="shared" ref="D13:O13" si="1">SUM(D11:D12)</f>
        <v>0</v>
      </c>
      <c r="E13" s="20">
        <f t="shared" si="1"/>
        <v>0</v>
      </c>
      <c r="F13" s="20">
        <f t="shared" si="1"/>
        <v>2000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  <c r="K13" s="20">
        <f t="shared" si="1"/>
        <v>0</v>
      </c>
      <c r="L13" s="20">
        <f t="shared" si="1"/>
        <v>0</v>
      </c>
      <c r="M13" s="20">
        <f t="shared" si="1"/>
        <v>0</v>
      </c>
      <c r="N13" s="20">
        <f t="shared" si="1"/>
        <v>0</v>
      </c>
      <c r="O13" s="20">
        <f t="shared" si="1"/>
        <v>0</v>
      </c>
      <c r="P13" s="20">
        <f>SUM(P11:P12)</f>
        <v>2000</v>
      </c>
      <c r="Q13" s="11"/>
      <c r="R13" s="11"/>
      <c r="S13" s="11"/>
      <c r="T13" s="11"/>
    </row>
    <row r="14" spans="1:20" ht="15.75" x14ac:dyDescent="0.25">
      <c r="A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11"/>
      <c r="R14" s="11"/>
      <c r="S14" s="11"/>
      <c r="T14" s="11"/>
    </row>
    <row r="15" spans="1:20" ht="15.75" x14ac:dyDescent="0.25">
      <c r="A15" s="14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1"/>
      <c r="Q15" s="11"/>
      <c r="R15" s="11"/>
      <c r="S15" s="11"/>
      <c r="T15" s="11"/>
    </row>
    <row r="16" spans="1:20" ht="15.75" x14ac:dyDescent="0.25">
      <c r="A16" s="24" t="s">
        <v>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1"/>
      <c r="R16" s="11"/>
      <c r="S16" s="11"/>
      <c r="T16" s="11"/>
    </row>
    <row r="17" spans="1:20" ht="15.75" x14ac:dyDescent="0.25">
      <c r="A17" s="14" t="s">
        <v>205</v>
      </c>
      <c r="C17" s="25">
        <f>'Costo Personal'!$G$6</f>
        <v>0</v>
      </c>
      <c r="D17" s="25">
        <f>'Costo Personal'!$G$6</f>
        <v>0</v>
      </c>
      <c r="E17" s="25">
        <f>'Costo Personal'!$G$6</f>
        <v>0</v>
      </c>
      <c r="F17" s="25">
        <f>'Costo Personal'!$G$6</f>
        <v>0</v>
      </c>
      <c r="G17" s="25">
        <f>'Costo Personal'!$G$6</f>
        <v>0</v>
      </c>
      <c r="H17" s="25">
        <f>'Estimacion Costos'!I33</f>
        <v>81333.333333333328</v>
      </c>
      <c r="I17" s="25">
        <f>'Costo Personal'!$G$6</f>
        <v>0</v>
      </c>
      <c r="J17" s="25">
        <f>'Costo Personal'!$G$6</f>
        <v>0</v>
      </c>
      <c r="K17" s="25">
        <f>'Costo Personal'!$G$6</f>
        <v>0</v>
      </c>
      <c r="L17" s="25">
        <f>'Costo Personal'!$G$6</f>
        <v>0</v>
      </c>
      <c r="M17" s="25">
        <f>'Costo Personal'!$G$6</f>
        <v>0</v>
      </c>
      <c r="N17" s="25">
        <f>'Costo Personal'!$G$6</f>
        <v>0</v>
      </c>
      <c r="O17" s="25">
        <v>0</v>
      </c>
      <c r="P17" s="21">
        <f>SUM(C17:O17)</f>
        <v>81333.333333333328</v>
      </c>
      <c r="Q17" s="11"/>
      <c r="R17" s="11"/>
      <c r="S17" s="11"/>
      <c r="T17" s="11"/>
    </row>
    <row r="18" spans="1:20" ht="15.75" x14ac:dyDescent="0.25">
      <c r="A18" s="14"/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27">
        <f>SUM(C18:O18)</f>
        <v>0</v>
      </c>
      <c r="Q18" s="11"/>
      <c r="R18" s="11"/>
      <c r="S18" s="11"/>
      <c r="T18" s="11"/>
    </row>
    <row r="19" spans="1:20" ht="15.75" x14ac:dyDescent="0.25">
      <c r="A19" s="19" t="s">
        <v>7</v>
      </c>
      <c r="C19" s="21">
        <f>SUM(C17:C18)</f>
        <v>0</v>
      </c>
      <c r="D19" s="21">
        <f t="shared" ref="D19:O19" si="2">SUM(D17:D18)</f>
        <v>0</v>
      </c>
      <c r="E19" s="21">
        <f t="shared" si="2"/>
        <v>0</v>
      </c>
      <c r="F19" s="21">
        <f t="shared" si="2"/>
        <v>0</v>
      </c>
      <c r="G19" s="21">
        <f t="shared" si="2"/>
        <v>0</v>
      </c>
      <c r="H19" s="21">
        <f t="shared" si="2"/>
        <v>81333.333333333328</v>
      </c>
      <c r="I19" s="21">
        <f t="shared" si="2"/>
        <v>0</v>
      </c>
      <c r="J19" s="21">
        <f t="shared" si="2"/>
        <v>0</v>
      </c>
      <c r="K19" s="21">
        <f t="shared" si="2"/>
        <v>0</v>
      </c>
      <c r="L19" s="21">
        <f t="shared" si="2"/>
        <v>0</v>
      </c>
      <c r="M19" s="21">
        <f t="shared" si="2"/>
        <v>0</v>
      </c>
      <c r="N19" s="21">
        <f t="shared" si="2"/>
        <v>0</v>
      </c>
      <c r="O19" s="21">
        <f t="shared" si="2"/>
        <v>0</v>
      </c>
      <c r="P19" s="21">
        <f>P18+P17</f>
        <v>81333.333333333328</v>
      </c>
      <c r="Q19" s="11"/>
      <c r="R19" s="11"/>
      <c r="S19" s="11"/>
      <c r="T19" s="11"/>
    </row>
    <row r="20" spans="1:20" ht="15.75" x14ac:dyDescent="0.25">
      <c r="A20" s="2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11"/>
      <c r="R20" s="11"/>
      <c r="S20" s="11"/>
      <c r="T20" s="11"/>
    </row>
    <row r="21" spans="1:20" ht="15.75" x14ac:dyDescent="0.25">
      <c r="A21" s="14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1"/>
      <c r="Q21" s="11"/>
      <c r="R21" s="11"/>
      <c r="S21" s="11"/>
      <c r="T21" s="11"/>
    </row>
    <row r="22" spans="1:20" ht="15.75" x14ac:dyDescent="0.25">
      <c r="A22" s="24" t="s">
        <v>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11"/>
      <c r="R22" s="11"/>
      <c r="S22" s="11"/>
      <c r="T22" s="11"/>
    </row>
    <row r="23" spans="1:20" ht="15.75" x14ac:dyDescent="0.25">
      <c r="A23" s="19" t="s">
        <v>9</v>
      </c>
      <c r="C23" s="27">
        <f>C24+C25</f>
        <v>1836</v>
      </c>
      <c r="D23" s="27">
        <f t="shared" ref="D23:O23" si="3">D24+D25</f>
        <v>2754</v>
      </c>
      <c r="E23" s="27">
        <f t="shared" si="3"/>
        <v>4590</v>
      </c>
      <c r="F23" s="27">
        <f t="shared" si="3"/>
        <v>4590</v>
      </c>
      <c r="G23" s="27">
        <f t="shared" si="3"/>
        <v>4590</v>
      </c>
      <c r="H23" s="27">
        <f t="shared" si="3"/>
        <v>1836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  <c r="P23" s="27">
        <f>SUM(C23:O23)</f>
        <v>20196</v>
      </c>
      <c r="Q23" s="11"/>
      <c r="R23" s="11"/>
      <c r="S23" s="11"/>
      <c r="T23" s="11"/>
    </row>
    <row r="24" spans="1:20" ht="15.75" x14ac:dyDescent="0.25">
      <c r="A24" s="28" t="s">
        <v>11</v>
      </c>
      <c r="C24" s="22">
        <f>'Estimacion Costos'!$E$65*'Estimacion Costos'!$B69</f>
        <v>636</v>
      </c>
      <c r="D24" s="22">
        <f>'Estimacion Costos'!$H$65*'Estimacion Costos'!$B69</f>
        <v>954</v>
      </c>
      <c r="E24" s="22">
        <f>'Estimacion Costos'!$K$65*'Estimacion Costos'!$B69</f>
        <v>1590</v>
      </c>
      <c r="F24" s="22">
        <f>'Estimacion Costos'!$N$65*'Estimacion Costos'!$B69</f>
        <v>1590</v>
      </c>
      <c r="G24" s="22">
        <f>'Estimacion Costos'!$Q$65*'Estimacion Costos'!$B69</f>
        <v>1590</v>
      </c>
      <c r="H24" s="22">
        <f>'Estimacion Costos'!$T$65*'Estimacion Costos'!$B69</f>
        <v>636</v>
      </c>
      <c r="I24" s="22"/>
      <c r="J24" s="22"/>
      <c r="K24" s="22"/>
      <c r="L24" s="22"/>
      <c r="M24" s="22"/>
      <c r="N24" s="22"/>
      <c r="O24" s="22"/>
      <c r="P24" s="21"/>
      <c r="Q24" s="11"/>
      <c r="R24" s="11"/>
      <c r="S24" s="11"/>
      <c r="T24" s="11"/>
    </row>
    <row r="25" spans="1:20" ht="15.75" x14ac:dyDescent="0.25">
      <c r="A25" s="28" t="s">
        <v>10</v>
      </c>
      <c r="C25" s="22">
        <f>'Estimacion Costos'!$E$65*'Estimacion Costos'!$B70</f>
        <v>1200</v>
      </c>
      <c r="D25" s="22">
        <f>'Estimacion Costos'!$H$65*'Estimacion Costos'!$B70</f>
        <v>1800</v>
      </c>
      <c r="E25" s="22">
        <f>'Estimacion Costos'!$K$65*'Estimacion Costos'!$B70</f>
        <v>3000</v>
      </c>
      <c r="F25" s="22">
        <f>'Estimacion Costos'!$N$65*'Estimacion Costos'!$B70</f>
        <v>3000</v>
      </c>
      <c r="G25" s="22">
        <f>'Estimacion Costos'!$Q$65*'Estimacion Costos'!$B70</f>
        <v>3000</v>
      </c>
      <c r="H25" s="22">
        <f>'Estimacion Costos'!$T$65*'Estimacion Costos'!$B70</f>
        <v>1200</v>
      </c>
      <c r="I25" s="22"/>
      <c r="J25" s="22"/>
      <c r="K25" s="22"/>
      <c r="L25" s="22"/>
      <c r="M25" s="22"/>
      <c r="N25" s="22"/>
      <c r="O25" s="22"/>
      <c r="P25" s="21"/>
      <c r="Q25" s="11"/>
      <c r="R25" s="11"/>
      <c r="S25" s="11"/>
      <c r="T25" s="11"/>
    </row>
    <row r="26" spans="1:20" ht="15.75" x14ac:dyDescent="0.25">
      <c r="A26" s="28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1"/>
      <c r="Q26" s="11"/>
      <c r="R26" s="11"/>
      <c r="S26" s="11"/>
      <c r="T26" s="11"/>
    </row>
    <row r="27" spans="1:20" ht="15.75" x14ac:dyDescent="0.25">
      <c r="A27" s="19" t="s">
        <v>12</v>
      </c>
      <c r="C27" s="27">
        <f>C28+C29</f>
        <v>175</v>
      </c>
      <c r="D27" s="27">
        <f t="shared" ref="D27:O27" si="4">D28+D29</f>
        <v>8150</v>
      </c>
      <c r="E27" s="27">
        <f t="shared" si="4"/>
        <v>524.99999999999989</v>
      </c>
      <c r="F27" s="27">
        <f t="shared" si="4"/>
        <v>175</v>
      </c>
      <c r="G27" s="27">
        <f t="shared" si="4"/>
        <v>175</v>
      </c>
      <c r="H27" s="27">
        <f t="shared" si="4"/>
        <v>350</v>
      </c>
      <c r="I27" s="27">
        <f t="shared" si="4"/>
        <v>0</v>
      </c>
      <c r="J27" s="27">
        <f t="shared" si="4"/>
        <v>0</v>
      </c>
      <c r="K27" s="27">
        <f t="shared" si="4"/>
        <v>0</v>
      </c>
      <c r="L27" s="27">
        <f t="shared" si="4"/>
        <v>0</v>
      </c>
      <c r="M27" s="27">
        <f t="shared" si="4"/>
        <v>0</v>
      </c>
      <c r="N27" s="27">
        <f t="shared" si="4"/>
        <v>0</v>
      </c>
      <c r="O27" s="27">
        <f t="shared" si="4"/>
        <v>0</v>
      </c>
      <c r="P27" s="27">
        <f>SUM(C27:O27)</f>
        <v>9550</v>
      </c>
      <c r="Q27" s="11"/>
      <c r="R27" s="11"/>
      <c r="S27" s="11"/>
      <c r="T27" s="11"/>
    </row>
    <row r="28" spans="1:20" ht="15.75" x14ac:dyDescent="0.25">
      <c r="A28" s="28" t="s">
        <v>13</v>
      </c>
      <c r="C28" s="22">
        <f>'Estimacion Costos'!F66</f>
        <v>0</v>
      </c>
      <c r="D28" s="22">
        <f>'Estimacion Costos'!I66</f>
        <v>4800</v>
      </c>
      <c r="E28" s="22">
        <f>'Estimacion Costos'!L66</f>
        <v>0</v>
      </c>
      <c r="F28" s="22">
        <f>'Estimacion Costos'!O66</f>
        <v>0</v>
      </c>
      <c r="G28" s="22">
        <f>'Estimacion Costos'!R66</f>
        <v>0</v>
      </c>
      <c r="H28" s="22">
        <f>'Estimacion Costos'!U66</f>
        <v>0</v>
      </c>
      <c r="I28" s="22"/>
      <c r="J28" s="22"/>
      <c r="K28" s="22"/>
      <c r="L28" s="22"/>
      <c r="M28" s="22"/>
      <c r="N28" s="22"/>
      <c r="O28" s="22"/>
      <c r="P28" s="21"/>
      <c r="Q28" s="11"/>
      <c r="R28" s="11"/>
      <c r="S28" s="11"/>
      <c r="T28" s="11"/>
    </row>
    <row r="29" spans="1:20" ht="15.75" x14ac:dyDescent="0.25">
      <c r="A29" s="28" t="s">
        <v>14</v>
      </c>
      <c r="C29" s="17">
        <f>'Estimacion Costos'!G66</f>
        <v>175</v>
      </c>
      <c r="D29" s="17">
        <f>'Estimacion Costos'!J66</f>
        <v>3349.9999999999995</v>
      </c>
      <c r="E29" s="17">
        <f>'Estimacion Costos'!M66</f>
        <v>524.99999999999989</v>
      </c>
      <c r="F29" s="17">
        <f>'Estimacion Costos'!P66</f>
        <v>175</v>
      </c>
      <c r="G29" s="17">
        <f>'Estimacion Costos'!S66</f>
        <v>175</v>
      </c>
      <c r="H29" s="17">
        <f>'Estimacion Costos'!V66</f>
        <v>350</v>
      </c>
      <c r="I29" s="17"/>
      <c r="J29" s="17"/>
      <c r="K29" s="17"/>
      <c r="L29" s="17"/>
      <c r="M29" s="17"/>
      <c r="N29" s="17"/>
      <c r="O29" s="17"/>
      <c r="P29" s="27"/>
      <c r="Q29" s="11"/>
      <c r="R29" s="11"/>
      <c r="S29" s="11"/>
      <c r="T29" s="11"/>
    </row>
    <row r="30" spans="1:20" ht="15.75" x14ac:dyDescent="0.25">
      <c r="A30" s="19" t="s">
        <v>15</v>
      </c>
      <c r="C30" s="21">
        <f t="shared" ref="C30:O30" si="5">C23+C27</f>
        <v>2011</v>
      </c>
      <c r="D30" s="21">
        <f t="shared" si="5"/>
        <v>10904</v>
      </c>
      <c r="E30" s="21">
        <f t="shared" si="5"/>
        <v>5115</v>
      </c>
      <c r="F30" s="21">
        <f t="shared" si="5"/>
        <v>4765</v>
      </c>
      <c r="G30" s="21">
        <f t="shared" si="5"/>
        <v>4765</v>
      </c>
      <c r="H30" s="21">
        <f t="shared" si="5"/>
        <v>2186</v>
      </c>
      <c r="I30" s="21">
        <f t="shared" si="5"/>
        <v>0</v>
      </c>
      <c r="J30" s="21">
        <f t="shared" si="5"/>
        <v>0</v>
      </c>
      <c r="K30" s="21">
        <f t="shared" si="5"/>
        <v>0</v>
      </c>
      <c r="L30" s="21">
        <f t="shared" si="5"/>
        <v>0</v>
      </c>
      <c r="M30" s="21">
        <f t="shared" si="5"/>
        <v>0</v>
      </c>
      <c r="N30" s="21">
        <f t="shared" si="5"/>
        <v>0</v>
      </c>
      <c r="O30" s="21">
        <f t="shared" si="5"/>
        <v>0</v>
      </c>
      <c r="P30" s="21">
        <f>P23+P27</f>
        <v>29746</v>
      </c>
      <c r="Q30" s="11"/>
      <c r="R30" s="11"/>
      <c r="S30" s="11"/>
      <c r="T30" s="11"/>
    </row>
    <row r="31" spans="1:20" ht="15.75" x14ac:dyDescent="0.25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1"/>
      <c r="Q31" s="11"/>
      <c r="R31" s="11"/>
      <c r="S31" s="11"/>
      <c r="T31" s="11"/>
    </row>
    <row r="32" spans="1:20" ht="15.75" x14ac:dyDescent="0.25">
      <c r="A32" s="24" t="s">
        <v>16</v>
      </c>
      <c r="C32" s="21">
        <f t="shared" ref="C32:O32" si="6">C7+C13+C19+C30</f>
        <v>2011</v>
      </c>
      <c r="D32" s="21">
        <f t="shared" si="6"/>
        <v>10904</v>
      </c>
      <c r="E32" s="21">
        <f t="shared" si="6"/>
        <v>80115</v>
      </c>
      <c r="F32" s="21">
        <f t="shared" si="6"/>
        <v>6765</v>
      </c>
      <c r="G32" s="21">
        <f t="shared" si="6"/>
        <v>4765</v>
      </c>
      <c r="H32" s="21">
        <f t="shared" si="6"/>
        <v>83519.333333333328</v>
      </c>
      <c r="I32" s="21">
        <f t="shared" si="6"/>
        <v>0</v>
      </c>
      <c r="J32" s="21">
        <f t="shared" si="6"/>
        <v>0</v>
      </c>
      <c r="K32" s="21">
        <f t="shared" si="6"/>
        <v>0</v>
      </c>
      <c r="L32" s="21">
        <f t="shared" si="6"/>
        <v>0</v>
      </c>
      <c r="M32" s="21">
        <f t="shared" si="6"/>
        <v>0</v>
      </c>
      <c r="N32" s="21">
        <f t="shared" si="6"/>
        <v>0</v>
      </c>
      <c r="O32" s="21">
        <f t="shared" si="6"/>
        <v>0</v>
      </c>
      <c r="P32" s="21">
        <f>SUM(C32:O32)</f>
        <v>188079.33333333331</v>
      </c>
      <c r="Q32" s="11"/>
      <c r="R32" s="11"/>
      <c r="S32" s="11"/>
      <c r="T32" s="11"/>
    </row>
    <row r="33" spans="1:20" ht="15.75" x14ac:dyDescent="0.25">
      <c r="A33" s="29" t="s">
        <v>221</v>
      </c>
      <c r="C33" s="17">
        <f>C32*0.05</f>
        <v>100.55000000000001</v>
      </c>
      <c r="D33" s="17">
        <f t="shared" ref="D33:O33" si="7">D32*0.05</f>
        <v>545.20000000000005</v>
      </c>
      <c r="E33" s="17">
        <f t="shared" si="7"/>
        <v>4005.75</v>
      </c>
      <c r="F33" s="17">
        <f t="shared" si="7"/>
        <v>338.25</v>
      </c>
      <c r="G33" s="17">
        <f t="shared" si="7"/>
        <v>238.25</v>
      </c>
      <c r="H33" s="17">
        <f t="shared" si="7"/>
        <v>4175.9666666666662</v>
      </c>
      <c r="I33" s="17">
        <f t="shared" si="7"/>
        <v>0</v>
      </c>
      <c r="J33" s="17">
        <f t="shared" si="7"/>
        <v>0</v>
      </c>
      <c r="K33" s="17">
        <f t="shared" si="7"/>
        <v>0</v>
      </c>
      <c r="L33" s="17">
        <f t="shared" si="7"/>
        <v>0</v>
      </c>
      <c r="M33" s="17">
        <f t="shared" si="7"/>
        <v>0</v>
      </c>
      <c r="N33" s="17">
        <f t="shared" si="7"/>
        <v>0</v>
      </c>
      <c r="O33" s="17">
        <f t="shared" si="7"/>
        <v>0</v>
      </c>
      <c r="P33" s="27">
        <f>SUM(C33:O33)</f>
        <v>9403.9666666666672</v>
      </c>
      <c r="Q33" s="11"/>
      <c r="R33" s="11"/>
      <c r="S33" s="11"/>
      <c r="T33" s="11"/>
    </row>
    <row r="34" spans="1:20" ht="18.75" x14ac:dyDescent="0.3">
      <c r="A34" s="30" t="s">
        <v>17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40">
        <f>P32+P33</f>
        <v>197483.3</v>
      </c>
      <c r="Q34" s="11"/>
      <c r="R34" s="11"/>
      <c r="S34" s="11"/>
      <c r="T34" s="11"/>
    </row>
    <row r="35" spans="1:20" ht="15.75" x14ac:dyDescent="0.25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2"/>
      <c r="Q35" s="11"/>
      <c r="R35" s="11"/>
      <c r="S35" s="11"/>
      <c r="T35" s="11"/>
    </row>
    <row r="36" spans="1:20" ht="15.75" x14ac:dyDescent="0.25">
      <c r="A36" t="s">
        <v>18</v>
      </c>
      <c r="C36" s="15">
        <f>Valuacion!C51</f>
        <v>0</v>
      </c>
      <c r="D36" s="15">
        <f>Valuacion!E51</f>
        <v>164700</v>
      </c>
      <c r="E36" s="15">
        <f>Valuacion!G51</f>
        <v>0</v>
      </c>
      <c r="F36" s="15">
        <f>Valuacion!I51</f>
        <v>274500</v>
      </c>
      <c r="G36" s="15">
        <f>Valuacion!K51</f>
        <v>0</v>
      </c>
      <c r="H36" s="15">
        <f>Valuacion!M51</f>
        <v>109800</v>
      </c>
      <c r="I36" s="15">
        <f>Valuacion!O51</f>
        <v>0</v>
      </c>
      <c r="J36" s="15">
        <f>Valuacion!Q51</f>
        <v>0</v>
      </c>
      <c r="K36" s="15">
        <f>Valuacion!S51</f>
        <v>0</v>
      </c>
      <c r="L36" s="15">
        <f>Valuacion!U51</f>
        <v>0</v>
      </c>
      <c r="M36" s="15">
        <f>Valuacion!W51</f>
        <v>0</v>
      </c>
      <c r="N36" s="15">
        <f>Valuacion!Y51</f>
        <v>0</v>
      </c>
      <c r="O36" s="15">
        <f>Valuacion!AA51</f>
        <v>0</v>
      </c>
      <c r="P36" s="15">
        <f>Valuacion!AC51</f>
        <v>549000</v>
      </c>
      <c r="Q36" s="11"/>
      <c r="R36" s="11"/>
      <c r="S36" s="11"/>
      <c r="T36" s="11"/>
    </row>
    <row r="37" spans="1:20" ht="15.75" x14ac:dyDescent="0.25">
      <c r="A37" t="s">
        <v>19</v>
      </c>
      <c r="C37" s="32">
        <f t="shared" ref="C37:O37" si="8">C32</f>
        <v>2011</v>
      </c>
      <c r="D37" s="32">
        <f t="shared" si="8"/>
        <v>10904</v>
      </c>
      <c r="E37" s="32">
        <f t="shared" si="8"/>
        <v>80115</v>
      </c>
      <c r="F37" s="32">
        <f t="shared" si="8"/>
        <v>6765</v>
      </c>
      <c r="G37" s="32">
        <f t="shared" si="8"/>
        <v>4765</v>
      </c>
      <c r="H37" s="32">
        <f t="shared" si="8"/>
        <v>83519.333333333328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si="8"/>
        <v>0</v>
      </c>
      <c r="P37" s="32">
        <f>P32</f>
        <v>188079.33333333331</v>
      </c>
      <c r="Q37" s="11"/>
      <c r="R37" s="11"/>
      <c r="S37" s="11"/>
      <c r="T37" s="11"/>
    </row>
    <row r="38" spans="1:20" ht="15.75" x14ac:dyDescent="0.25">
      <c r="A38" t="s">
        <v>20</v>
      </c>
      <c r="C38" s="18">
        <f t="shared" ref="C38:O38" si="9">C33</f>
        <v>100.55000000000001</v>
      </c>
      <c r="D38" s="18">
        <f t="shared" si="9"/>
        <v>545.20000000000005</v>
      </c>
      <c r="E38" s="18">
        <f t="shared" si="9"/>
        <v>4005.75</v>
      </c>
      <c r="F38" s="18">
        <f t="shared" si="9"/>
        <v>338.25</v>
      </c>
      <c r="G38" s="18">
        <f t="shared" si="9"/>
        <v>238.25</v>
      </c>
      <c r="H38" s="18">
        <f t="shared" si="9"/>
        <v>4175.9666666666662</v>
      </c>
      <c r="I38" s="18">
        <f t="shared" si="9"/>
        <v>0</v>
      </c>
      <c r="J38" s="18">
        <f t="shared" si="9"/>
        <v>0</v>
      </c>
      <c r="K38" s="18">
        <f t="shared" si="9"/>
        <v>0</v>
      </c>
      <c r="L38" s="18">
        <f t="shared" si="9"/>
        <v>0</v>
      </c>
      <c r="M38" s="18">
        <f t="shared" si="9"/>
        <v>0</v>
      </c>
      <c r="N38" s="18">
        <f t="shared" si="9"/>
        <v>0</v>
      </c>
      <c r="O38" s="18">
        <f t="shared" si="9"/>
        <v>0</v>
      </c>
      <c r="P38" s="18">
        <f>P33</f>
        <v>9403.9666666666672</v>
      </c>
      <c r="Q38" s="11"/>
      <c r="R38" s="11"/>
      <c r="S38" s="11"/>
      <c r="T38" s="11"/>
    </row>
    <row r="39" spans="1:20" ht="15.75" x14ac:dyDescent="0.25">
      <c r="A39" s="1" t="s">
        <v>21</v>
      </c>
      <c r="C39" s="8">
        <f t="shared" ref="C39:O39" si="10">C36-C37-C38</f>
        <v>-2111.5500000000002</v>
      </c>
      <c r="D39" s="8">
        <f t="shared" si="10"/>
        <v>153250.79999999999</v>
      </c>
      <c r="E39" s="8">
        <f t="shared" si="10"/>
        <v>-84120.75</v>
      </c>
      <c r="F39" s="8">
        <f t="shared" si="10"/>
        <v>267396.75</v>
      </c>
      <c r="G39" s="8">
        <f t="shared" si="10"/>
        <v>-5003.25</v>
      </c>
      <c r="H39" s="8">
        <f t="shared" si="10"/>
        <v>22104.700000000004</v>
      </c>
      <c r="I39" s="8">
        <f t="shared" si="10"/>
        <v>0</v>
      </c>
      <c r="J39" s="8">
        <f t="shared" si="10"/>
        <v>0</v>
      </c>
      <c r="K39" s="8">
        <f t="shared" si="10"/>
        <v>0</v>
      </c>
      <c r="L39" s="8">
        <f t="shared" si="10"/>
        <v>0</v>
      </c>
      <c r="M39" s="8">
        <f t="shared" si="10"/>
        <v>0</v>
      </c>
      <c r="N39" s="8">
        <f t="shared" si="10"/>
        <v>0</v>
      </c>
      <c r="O39" s="8">
        <f t="shared" si="10"/>
        <v>0</v>
      </c>
      <c r="P39" s="8">
        <f>P36-P37-P38</f>
        <v>351516.7</v>
      </c>
      <c r="Q39" s="11"/>
      <c r="R39" s="11"/>
      <c r="S39" s="11"/>
      <c r="T39" s="11"/>
    </row>
    <row r="40" spans="1:20" ht="15.75" x14ac:dyDescent="0.25">
      <c r="G40" s="16"/>
      <c r="P40" s="15"/>
      <c r="Q40" s="11"/>
      <c r="R40" s="11"/>
      <c r="S40" s="11"/>
      <c r="T40" s="11"/>
    </row>
    <row r="41" spans="1:20" x14ac:dyDescent="0.25">
      <c r="B41" s="15"/>
    </row>
    <row r="42" spans="1:20" x14ac:dyDescent="0.25">
      <c r="B42" s="15"/>
    </row>
    <row r="43" spans="1:20" ht="21" x14ac:dyDescent="0.35">
      <c r="A43" s="34" t="s">
        <v>42</v>
      </c>
      <c r="B43" s="16"/>
      <c r="C43" s="16"/>
      <c r="D43" s="16"/>
      <c r="E43" s="16"/>
    </row>
    <row r="44" spans="1:20" ht="15.75" x14ac:dyDescent="0.25">
      <c r="A44" s="1" t="s">
        <v>43</v>
      </c>
      <c r="B44" s="39"/>
      <c r="C44" s="36" t="s">
        <v>55</v>
      </c>
      <c r="D44" s="36" t="s">
        <v>56</v>
      </c>
      <c r="E44" s="36" t="s">
        <v>57</v>
      </c>
      <c r="F44" s="36" t="s">
        <v>58</v>
      </c>
      <c r="G44" s="36" t="s">
        <v>59</v>
      </c>
      <c r="H44" s="36" t="s">
        <v>60</v>
      </c>
      <c r="I44" s="36" t="s">
        <v>49</v>
      </c>
      <c r="J44" s="36" t="s">
        <v>50</v>
      </c>
      <c r="K44" s="36" t="s">
        <v>51</v>
      </c>
      <c r="L44" s="36" t="s">
        <v>52</v>
      </c>
      <c r="M44" s="36" t="s">
        <v>53</v>
      </c>
      <c r="N44" s="36" t="s">
        <v>54</v>
      </c>
      <c r="O44" s="36" t="s">
        <v>55</v>
      </c>
      <c r="P44" s="11" t="s">
        <v>64</v>
      </c>
    </row>
    <row r="45" spans="1:20" x14ac:dyDescent="0.25">
      <c r="A45" s="14" t="s">
        <v>63</v>
      </c>
      <c r="B45" s="16"/>
      <c r="C45" s="16">
        <f>C5*Valuacion!$B$5/12</f>
        <v>0</v>
      </c>
      <c r="D45" s="16">
        <f>IF(C45&gt;0,C45,D5*Valuacion!$B$5/12)</f>
        <v>0</v>
      </c>
      <c r="E45" s="16">
        <f>IF(D45&gt;0,D45,E5*Valuacion!$B$5/12)</f>
        <v>1249.9875</v>
      </c>
      <c r="F45" s="16">
        <f>IF(E45&gt;0,E45,F5*Valuacion!$B$5/12)</f>
        <v>1249.9875</v>
      </c>
      <c r="G45" s="16">
        <f>IF(F45&gt;0,F45,G5*Valuacion!$B$5/12)</f>
        <v>1249.9875</v>
      </c>
      <c r="H45" s="16">
        <f>IF(G45&gt;0,G45,H5*Valuacion!$B$5/12)</f>
        <v>1249.9875</v>
      </c>
      <c r="I45" s="16">
        <f>IF(H45&gt;0,H45,I5*Valuacion!$B$5/12)</f>
        <v>1249.9875</v>
      </c>
      <c r="J45" s="16">
        <f>IF(I45&gt;0,I45,J5*Valuacion!$B$5/12)</f>
        <v>1249.9875</v>
      </c>
      <c r="K45" s="16">
        <f>IF(J45&gt;0,J45,K5*Valuacion!$B$5/12)</f>
        <v>1249.9875</v>
      </c>
      <c r="L45" s="16">
        <f>IF(K45&gt;0,K45,L5*Valuacion!$B$5/12)</f>
        <v>1249.9875</v>
      </c>
      <c r="M45" s="16">
        <f>IF(L45&gt;0,L45,M5*Valuacion!$B$5/12)</f>
        <v>1249.9875</v>
      </c>
      <c r="N45" s="16">
        <f>IF(M45&gt;0,M45,N5*Valuacion!$B$5/12)</f>
        <v>1249.9875</v>
      </c>
      <c r="O45" s="16">
        <v>0</v>
      </c>
      <c r="P45" s="8">
        <f>SUM(C45:O45)</f>
        <v>12499.874999999998</v>
      </c>
    </row>
    <row r="46" spans="1:20" x14ac:dyDescent="0.25">
      <c r="A46" s="14"/>
      <c r="B46" s="32"/>
      <c r="C46" s="18">
        <f>C6*Valuacion!$B$6/12</f>
        <v>0</v>
      </c>
      <c r="D46" s="18">
        <f>IF(C46&gt;0,C46,D6*Valuacion!$B$6/12)</f>
        <v>0</v>
      </c>
      <c r="E46" s="18">
        <f>IF(D46&gt;0,D46,E6*Valuacion!$B$6/12)</f>
        <v>500</v>
      </c>
      <c r="F46" s="18">
        <f>IF(E46&gt;0,E46,F6*Valuacion!$B$6/12)</f>
        <v>500</v>
      </c>
      <c r="G46" s="18">
        <f>IF(F46&gt;0,F46,G6*Valuacion!$B$6/12)</f>
        <v>500</v>
      </c>
      <c r="H46" s="18">
        <f>IF(G46&gt;0,G46,H6*Valuacion!$B$6/12)</f>
        <v>500</v>
      </c>
      <c r="I46" s="18">
        <f>IF(H46&gt;0,H46,I6*Valuacion!$B$6/12)</f>
        <v>500</v>
      </c>
      <c r="J46" s="18">
        <f>IF(I46&gt;0,I46,J6*Valuacion!$B$6/12)</f>
        <v>500</v>
      </c>
      <c r="K46" s="18">
        <f>IF(J46&gt;0,J46,K6*Valuacion!$B$6/12)</f>
        <v>500</v>
      </c>
      <c r="L46" s="18">
        <f>IF(K46&gt;0,K46,L6*Valuacion!$B$6/12)</f>
        <v>500</v>
      </c>
      <c r="M46" s="18">
        <f>IF(L46&gt;0,L46,M6*Valuacion!$B$6/12)</f>
        <v>500</v>
      </c>
      <c r="N46" s="18">
        <f>IF(M46&gt;0,M46,N6*Valuacion!$B$6/12)</f>
        <v>500</v>
      </c>
      <c r="O46" s="18">
        <f>IF(N46&gt;0,N46,O6*Valuacion!$B$6/12)</f>
        <v>500</v>
      </c>
      <c r="P46" s="18">
        <f>SUM(C46:N46)</f>
        <v>5000</v>
      </c>
    </row>
    <row r="47" spans="1:20" x14ac:dyDescent="0.25">
      <c r="A47" s="1" t="s">
        <v>44</v>
      </c>
      <c r="B47" s="8"/>
      <c r="C47" s="8">
        <f>SUM(C45:C46)</f>
        <v>0</v>
      </c>
      <c r="D47" s="8">
        <f t="shared" ref="D47:P47" si="11">SUM(D45:D46)</f>
        <v>0</v>
      </c>
      <c r="E47" s="8">
        <f t="shared" si="11"/>
        <v>1749.9875</v>
      </c>
      <c r="F47" s="8">
        <f t="shared" si="11"/>
        <v>1749.9875</v>
      </c>
      <c r="G47" s="8">
        <f t="shared" si="11"/>
        <v>1749.9875</v>
      </c>
      <c r="H47" s="8">
        <f t="shared" si="11"/>
        <v>1749.9875</v>
      </c>
      <c r="I47" s="8">
        <f t="shared" si="11"/>
        <v>1749.9875</v>
      </c>
      <c r="J47" s="8">
        <f t="shared" si="11"/>
        <v>1749.9875</v>
      </c>
      <c r="K47" s="8">
        <f t="shared" si="11"/>
        <v>1749.9875</v>
      </c>
      <c r="L47" s="8">
        <f t="shared" si="11"/>
        <v>1749.9875</v>
      </c>
      <c r="M47" s="8">
        <f t="shared" si="11"/>
        <v>1749.9875</v>
      </c>
      <c r="N47" s="8">
        <f t="shared" si="11"/>
        <v>1749.9875</v>
      </c>
      <c r="O47" s="8">
        <f t="shared" si="11"/>
        <v>500</v>
      </c>
      <c r="P47" s="8">
        <f t="shared" si="11"/>
        <v>17499.875</v>
      </c>
    </row>
    <row r="48" spans="1:20" x14ac:dyDescent="0.25">
      <c r="B48" s="16"/>
      <c r="C48" s="16"/>
      <c r="D48" s="16"/>
      <c r="E48" s="16"/>
    </row>
    <row r="49" spans="2:5" x14ac:dyDescent="0.25">
      <c r="B49" s="16"/>
      <c r="C49" s="16"/>
      <c r="D49" s="16"/>
      <c r="E49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16"/>
  <sheetViews>
    <sheetView showGridLines="0" tabSelected="1" zoomScale="90" zoomScaleNormal="90" workbookViewId="0">
      <pane xSplit="1" topLeftCell="B1" activePane="topRight" state="frozen"/>
      <selection pane="topRight" activeCell="E2" sqref="E2"/>
    </sheetView>
  </sheetViews>
  <sheetFormatPr defaultRowHeight="15" x14ac:dyDescent="0.25"/>
  <cols>
    <col min="1" max="1" width="56.5703125" customWidth="1"/>
    <col min="2" max="29" width="15" customWidth="1"/>
    <col min="31" max="32" width="11.28515625" bestFit="1" customWidth="1"/>
  </cols>
  <sheetData>
    <row r="1" spans="1:38" ht="21.75" thickBot="1" x14ac:dyDescent="0.3">
      <c r="A1" s="119" t="s">
        <v>22</v>
      </c>
      <c r="B1" s="120" t="s">
        <v>47</v>
      </c>
    </row>
    <row r="2" spans="1:38" ht="15.75" x14ac:dyDescent="0.25">
      <c r="A2" s="48" t="s">
        <v>106</v>
      </c>
      <c r="B2" s="49">
        <v>0.04</v>
      </c>
      <c r="D2" s="109" t="s">
        <v>104</v>
      </c>
      <c r="E2" s="111">
        <f>NPV($B$3,C85:AA85)-$B$8</f>
        <v>296563.12784492184</v>
      </c>
    </row>
    <row r="3" spans="1:38" ht="16.5" thickBot="1" x14ac:dyDescent="0.3">
      <c r="A3" s="50" t="s">
        <v>66</v>
      </c>
      <c r="B3" s="60">
        <f>((1+$B$2)^(1/12))-1</f>
        <v>3.2737397821989145E-3</v>
      </c>
      <c r="C3" s="108"/>
      <c r="D3" s="110" t="s">
        <v>105</v>
      </c>
      <c r="E3" s="112">
        <f>IRR(B85:AA85)</f>
        <v>0.77370310972153167</v>
      </c>
    </row>
    <row r="4" spans="1:38" ht="15.75" x14ac:dyDescent="0.25">
      <c r="A4" s="50" t="s">
        <v>24</v>
      </c>
      <c r="B4" s="121" t="s">
        <v>30</v>
      </c>
    </row>
    <row r="5" spans="1:38" x14ac:dyDescent="0.25">
      <c r="A5" s="50" t="s">
        <v>25</v>
      </c>
      <c r="B5" s="51">
        <v>0.33333000000000002</v>
      </c>
    </row>
    <row r="6" spans="1:38" x14ac:dyDescent="0.25">
      <c r="A6" s="50" t="s">
        <v>222</v>
      </c>
      <c r="B6" s="56">
        <v>0.2</v>
      </c>
      <c r="C6" s="42" t="s">
        <v>51</v>
      </c>
      <c r="D6" s="42" t="s">
        <v>52</v>
      </c>
      <c r="E6" s="42" t="s">
        <v>53</v>
      </c>
      <c r="F6" s="42" t="s">
        <v>54</v>
      </c>
      <c r="G6" s="42" t="s">
        <v>55</v>
      </c>
      <c r="H6" s="42" t="s">
        <v>56</v>
      </c>
      <c r="I6" s="42"/>
      <c r="J6" s="42"/>
      <c r="K6" s="42"/>
      <c r="L6" s="42"/>
      <c r="M6" s="42"/>
      <c r="N6" s="42"/>
      <c r="O6" s="42"/>
    </row>
    <row r="7" spans="1:38" x14ac:dyDescent="0.25">
      <c r="A7" s="41" t="s">
        <v>26</v>
      </c>
      <c r="B7" s="94">
        <v>18</v>
      </c>
      <c r="C7" s="94">
        <v>18</v>
      </c>
      <c r="D7" s="94">
        <v>18</v>
      </c>
      <c r="E7" s="43">
        <v>18</v>
      </c>
      <c r="F7" s="43">
        <v>18</v>
      </c>
      <c r="G7" s="43">
        <v>18</v>
      </c>
      <c r="H7" s="43">
        <v>18</v>
      </c>
      <c r="I7" s="43"/>
      <c r="J7" s="43"/>
      <c r="K7" s="43"/>
      <c r="L7" s="43"/>
      <c r="M7" s="43"/>
      <c r="N7" s="43"/>
      <c r="O7" s="43"/>
    </row>
    <row r="8" spans="1:38" x14ac:dyDescent="0.25">
      <c r="A8" s="41" t="s">
        <v>223</v>
      </c>
      <c r="B8" s="43">
        <v>50000</v>
      </c>
      <c r="C8" s="127" t="s">
        <v>125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spans="1:38" x14ac:dyDescent="0.25">
      <c r="A9" s="50" t="s">
        <v>206</v>
      </c>
      <c r="B9" s="52">
        <v>500</v>
      </c>
      <c r="C9" s="127" t="s">
        <v>23</v>
      </c>
    </row>
    <row r="10" spans="1:38" ht="15.75" x14ac:dyDescent="0.25">
      <c r="A10" s="50" t="s">
        <v>46</v>
      </c>
      <c r="B10" s="122" t="s">
        <v>30</v>
      </c>
      <c r="D10" s="126"/>
    </row>
    <row r="11" spans="1:38" x14ac:dyDescent="0.25">
      <c r="A11" s="50" t="s">
        <v>45</v>
      </c>
      <c r="B11" s="53">
        <v>4</v>
      </c>
    </row>
    <row r="12" spans="1:38" ht="15.75" thickBot="1" x14ac:dyDescent="0.3">
      <c r="A12" s="54" t="s">
        <v>61</v>
      </c>
      <c r="B12" s="55">
        <v>4</v>
      </c>
      <c r="E12" s="107"/>
      <c r="F12" s="15"/>
    </row>
    <row r="15" spans="1:38" ht="21" x14ac:dyDescent="0.35">
      <c r="A15" s="116" t="s">
        <v>29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8"/>
    </row>
    <row r="16" spans="1:38" ht="15.75" x14ac:dyDescent="0.25">
      <c r="A16" s="44" t="s">
        <v>48</v>
      </c>
      <c r="B16" s="42" t="s">
        <v>51</v>
      </c>
      <c r="C16" s="42" t="s">
        <v>52</v>
      </c>
      <c r="D16" s="42" t="s">
        <v>53</v>
      </c>
      <c r="E16" s="42" t="s">
        <v>54</v>
      </c>
      <c r="F16" s="42" t="s">
        <v>55</v>
      </c>
      <c r="G16" s="42" t="s">
        <v>56</v>
      </c>
      <c r="H16" s="45"/>
      <c r="I16" s="45"/>
      <c r="J16" s="45"/>
      <c r="K16" s="45"/>
      <c r="L16" s="45"/>
      <c r="M16" s="45"/>
      <c r="N16" s="45"/>
      <c r="O16" s="45" t="s">
        <v>28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</row>
    <row r="17" spans="1:40" ht="15.75" x14ac:dyDescent="0.25">
      <c r="A17" s="96" t="s">
        <v>65</v>
      </c>
      <c r="B17" s="90">
        <v>0</v>
      </c>
      <c r="C17" s="90">
        <f t="shared" ref="C17:N17" si="0">B20</f>
        <v>0</v>
      </c>
      <c r="D17" s="90">
        <f t="shared" si="0"/>
        <v>164700</v>
      </c>
      <c r="E17" s="90">
        <f t="shared" si="0"/>
        <v>0</v>
      </c>
      <c r="F17" s="90">
        <f t="shared" si="0"/>
        <v>274500</v>
      </c>
      <c r="G17" s="90">
        <f t="shared" si="0"/>
        <v>0</v>
      </c>
      <c r="H17" s="90">
        <f t="shared" si="0"/>
        <v>109800</v>
      </c>
      <c r="I17" s="90">
        <f t="shared" si="0"/>
        <v>0</v>
      </c>
      <c r="J17" s="90">
        <f t="shared" si="0"/>
        <v>0</v>
      </c>
      <c r="K17" s="90">
        <f t="shared" si="0"/>
        <v>0</v>
      </c>
      <c r="L17" s="90">
        <f t="shared" si="0"/>
        <v>0</v>
      </c>
      <c r="M17" s="90">
        <f t="shared" si="0"/>
        <v>0</v>
      </c>
      <c r="N17" s="90">
        <f t="shared" si="0"/>
        <v>0</v>
      </c>
      <c r="O17" s="89">
        <f t="shared" ref="O17:O18" si="1">SUM(B17:N17)</f>
        <v>549000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40" x14ac:dyDescent="0.25">
      <c r="A18" s="59" t="s">
        <v>27</v>
      </c>
      <c r="B18" s="99">
        <v>0</v>
      </c>
      <c r="C18" s="99">
        <f t="shared" ref="C18:N18" si="2">B21</f>
        <v>0</v>
      </c>
      <c r="D18" s="99">
        <f t="shared" si="2"/>
        <v>26352</v>
      </c>
      <c r="E18" s="99">
        <f t="shared" si="2"/>
        <v>0</v>
      </c>
      <c r="F18" s="99">
        <f t="shared" si="2"/>
        <v>43920</v>
      </c>
      <c r="G18" s="99">
        <f t="shared" si="2"/>
        <v>0</v>
      </c>
      <c r="H18" s="99">
        <f t="shared" si="2"/>
        <v>17568</v>
      </c>
      <c r="I18" s="99">
        <f t="shared" si="2"/>
        <v>0</v>
      </c>
      <c r="J18" s="99">
        <f t="shared" si="2"/>
        <v>0</v>
      </c>
      <c r="K18" s="99">
        <f t="shared" si="2"/>
        <v>0</v>
      </c>
      <c r="L18" s="99">
        <f t="shared" si="2"/>
        <v>0</v>
      </c>
      <c r="M18" s="99">
        <f t="shared" si="2"/>
        <v>0</v>
      </c>
      <c r="N18" s="99">
        <f t="shared" si="2"/>
        <v>0</v>
      </c>
      <c r="O18" s="95">
        <f t="shared" si="1"/>
        <v>87840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40" ht="15.75" x14ac:dyDescent="0.25">
      <c r="A19" s="97" t="s">
        <v>69</v>
      </c>
      <c r="B19" s="98">
        <f>SUM(B17:B18)</f>
        <v>0</v>
      </c>
      <c r="C19" s="98">
        <f>SUM(C17:C18)</f>
        <v>0</v>
      </c>
      <c r="D19" s="98">
        <f t="shared" ref="D19:O19" si="3">SUM(D17:D18)</f>
        <v>191052</v>
      </c>
      <c r="E19" s="98">
        <f t="shared" si="3"/>
        <v>0</v>
      </c>
      <c r="F19" s="98">
        <f t="shared" si="3"/>
        <v>318420</v>
      </c>
      <c r="G19" s="98">
        <f t="shared" si="3"/>
        <v>0</v>
      </c>
      <c r="H19" s="98">
        <f t="shared" si="3"/>
        <v>127368</v>
      </c>
      <c r="I19" s="98">
        <f t="shared" si="3"/>
        <v>0</v>
      </c>
      <c r="J19" s="98">
        <f t="shared" si="3"/>
        <v>0</v>
      </c>
      <c r="K19" s="98">
        <f t="shared" si="3"/>
        <v>0</v>
      </c>
      <c r="L19" s="98">
        <f t="shared" si="3"/>
        <v>0</v>
      </c>
      <c r="M19" s="98">
        <f t="shared" si="3"/>
        <v>0</v>
      </c>
      <c r="N19" s="98">
        <f t="shared" si="3"/>
        <v>0</v>
      </c>
      <c r="O19" s="98">
        <f t="shared" si="3"/>
        <v>636840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40" ht="15.75" x14ac:dyDescent="0.25">
      <c r="A20" s="96" t="s">
        <v>65</v>
      </c>
      <c r="B20" s="61">
        <f>IF($B$10="S",C51*(1+$B$2),C51)*0</f>
        <v>0</v>
      </c>
      <c r="C20" s="61">
        <f>IF($B$10="S",E51*(1+$B$2),E51)</f>
        <v>164700</v>
      </c>
      <c r="D20" s="61">
        <f>IF($B$10="S",G51*(1+$B$2),G51)</f>
        <v>0</v>
      </c>
      <c r="E20" s="61">
        <f>IF($B$10="S",I51*(1+$B$2),I51)</f>
        <v>274500</v>
      </c>
      <c r="F20" s="61">
        <f>IF($B$10="S",K51*(1+$B$2),K51)</f>
        <v>0</v>
      </c>
      <c r="G20" s="61">
        <f>IF($B$10="S",M51*(1+$B$2),M51)</f>
        <v>109800</v>
      </c>
      <c r="H20" s="61">
        <f>IF($B$10="S",O51*(1+$B$2),O51)</f>
        <v>0</v>
      </c>
      <c r="I20" s="61">
        <f>IF($B$10="S",Q2*(1+$B$2),Q51)</f>
        <v>0</v>
      </c>
      <c r="J20" s="61">
        <f>IF($B$10="S",S51*(1+$B$2),S51)</f>
        <v>0</v>
      </c>
      <c r="K20" s="61">
        <f>IF($B$10="S",U51*(1+$B$2),U51)</f>
        <v>0</v>
      </c>
      <c r="L20" s="61">
        <f>IF($B$10="S",W51*(1+$B$2),W51)</f>
        <v>0</v>
      </c>
      <c r="M20" s="61">
        <f>IF($B$10="S",Y51*(1+$B$2),Y51)</f>
        <v>0</v>
      </c>
      <c r="N20" s="61">
        <f>IF($B$10="S",AA51*(1+$B$2),AA51)</f>
        <v>0</v>
      </c>
      <c r="O20" s="62">
        <f>SUM(B20:N20)</f>
        <v>549000</v>
      </c>
      <c r="P20" s="63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1" spans="1:40" ht="15.75" x14ac:dyDescent="0.25">
      <c r="A21" s="59" t="s">
        <v>27</v>
      </c>
      <c r="B21" s="65">
        <f>B20*0.16</f>
        <v>0</v>
      </c>
      <c r="C21" s="65">
        <f t="shared" ref="C21:N21" si="4">C20*0.16</f>
        <v>26352</v>
      </c>
      <c r="D21" s="65">
        <f t="shared" si="4"/>
        <v>0</v>
      </c>
      <c r="E21" s="65">
        <f t="shared" si="4"/>
        <v>43920</v>
      </c>
      <c r="F21" s="65">
        <f t="shared" si="4"/>
        <v>0</v>
      </c>
      <c r="G21" s="65">
        <f t="shared" si="4"/>
        <v>17568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  <c r="N21" s="65">
        <f t="shared" si="4"/>
        <v>0</v>
      </c>
      <c r="O21" s="66">
        <f t="shared" ref="O21:O22" si="5">SUM(B21:N21)</f>
        <v>87840</v>
      </c>
      <c r="P21" s="63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</row>
    <row r="22" spans="1:40" ht="15.75" x14ac:dyDescent="0.25">
      <c r="A22" s="47" t="s">
        <v>28</v>
      </c>
      <c r="B22" s="67">
        <f>B20+B21</f>
        <v>0</v>
      </c>
      <c r="C22" s="67">
        <f t="shared" ref="C22:N22" si="6">C20+C21</f>
        <v>191052</v>
      </c>
      <c r="D22" s="67">
        <f t="shared" si="6"/>
        <v>0</v>
      </c>
      <c r="E22" s="67">
        <f t="shared" si="6"/>
        <v>318420</v>
      </c>
      <c r="F22" s="67">
        <f t="shared" si="6"/>
        <v>0</v>
      </c>
      <c r="G22" s="67">
        <f t="shared" si="6"/>
        <v>127368</v>
      </c>
      <c r="H22" s="67">
        <f t="shared" si="6"/>
        <v>0</v>
      </c>
      <c r="I22" s="67">
        <f t="shared" si="6"/>
        <v>0</v>
      </c>
      <c r="J22" s="67">
        <f t="shared" si="6"/>
        <v>0</v>
      </c>
      <c r="K22" s="67">
        <f t="shared" si="6"/>
        <v>0</v>
      </c>
      <c r="L22" s="67">
        <f t="shared" si="6"/>
        <v>0</v>
      </c>
      <c r="M22" s="67">
        <f t="shared" si="6"/>
        <v>0</v>
      </c>
      <c r="N22" s="67">
        <f t="shared" si="6"/>
        <v>0</v>
      </c>
      <c r="O22" s="67">
        <f t="shared" si="5"/>
        <v>636840</v>
      </c>
      <c r="P22" s="63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</row>
    <row r="23" spans="1:40" ht="15.75" x14ac:dyDescent="0.25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3"/>
      <c r="P23" s="63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</row>
    <row r="24" spans="1:40" ht="15.75" x14ac:dyDescent="0.25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</row>
    <row r="25" spans="1:40" ht="21" x14ac:dyDescent="0.35">
      <c r="A25" s="101" t="s">
        <v>76</v>
      </c>
      <c r="B25" s="147" t="s">
        <v>207</v>
      </c>
      <c r="C25" s="147"/>
      <c r="D25" s="147" t="s">
        <v>52</v>
      </c>
      <c r="E25" s="147"/>
      <c r="F25" s="147" t="s">
        <v>53</v>
      </c>
      <c r="G25" s="147"/>
      <c r="H25" s="147" t="s">
        <v>54</v>
      </c>
      <c r="I25" s="147"/>
      <c r="J25" s="147" t="s">
        <v>55</v>
      </c>
      <c r="K25" s="147"/>
      <c r="L25" s="147" t="s">
        <v>56</v>
      </c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</row>
    <row r="26" spans="1:40" ht="15.75" x14ac:dyDescent="0.25">
      <c r="A26" t="s">
        <v>77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</row>
    <row r="27" spans="1:40" ht="15.75" x14ac:dyDescent="0.25">
      <c r="A27" s="14" t="s">
        <v>78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</row>
    <row r="28" spans="1:40" ht="15.75" x14ac:dyDescent="0.25">
      <c r="A28" s="28" t="s">
        <v>79</v>
      </c>
      <c r="B28" s="88">
        <f>C84</f>
        <v>47888.45</v>
      </c>
      <c r="D28" s="88">
        <f>E84</f>
        <v>36439.25</v>
      </c>
      <c r="F28" s="88">
        <f>G84</f>
        <v>117018.5</v>
      </c>
      <c r="H28" s="88">
        <f>I84</f>
        <v>109915.25</v>
      </c>
      <c r="J28" s="88">
        <f>K84</f>
        <v>379412</v>
      </c>
      <c r="L28" s="88">
        <f>M84</f>
        <v>241716.7</v>
      </c>
      <c r="N28" s="88">
        <f>O84</f>
        <v>351516.7</v>
      </c>
      <c r="P28" s="88">
        <f>Q84</f>
        <v>351516.7</v>
      </c>
      <c r="R28" s="88">
        <f>S84</f>
        <v>351516.7</v>
      </c>
      <c r="T28" s="88">
        <f>U84</f>
        <v>351516.7</v>
      </c>
      <c r="V28" s="88">
        <f>W84</f>
        <v>351516.7</v>
      </c>
      <c r="X28" s="88">
        <f>Y84</f>
        <v>351516.7</v>
      </c>
      <c r="Y28" s="64"/>
      <c r="Z28" s="88">
        <f>AA84</f>
        <v>351516.7</v>
      </c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</row>
    <row r="29" spans="1:40" ht="15.75" x14ac:dyDescent="0.25">
      <c r="A29" s="28" t="s">
        <v>73</v>
      </c>
      <c r="B29" s="91">
        <f>B22</f>
        <v>0</v>
      </c>
      <c r="D29" s="91">
        <f>C22</f>
        <v>191052</v>
      </c>
      <c r="F29" s="91">
        <f>D22</f>
        <v>0</v>
      </c>
      <c r="H29" s="91">
        <f>E22</f>
        <v>318420</v>
      </c>
      <c r="J29" s="91">
        <f>F22</f>
        <v>0</v>
      </c>
      <c r="L29" s="91">
        <f>G22</f>
        <v>127368</v>
      </c>
      <c r="N29" s="91">
        <f>H22</f>
        <v>0</v>
      </c>
      <c r="P29" s="91">
        <f>I22</f>
        <v>0</v>
      </c>
      <c r="R29" s="91">
        <f>J22</f>
        <v>0</v>
      </c>
      <c r="T29" s="91">
        <f>K22</f>
        <v>0</v>
      </c>
      <c r="V29" s="91">
        <f>L22</f>
        <v>0</v>
      </c>
      <c r="X29" s="91">
        <f>M22</f>
        <v>0</v>
      </c>
      <c r="Y29" s="64"/>
      <c r="Z29" s="91">
        <f>N22</f>
        <v>0</v>
      </c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</row>
    <row r="30" spans="1:40" ht="15.75" x14ac:dyDescent="0.25">
      <c r="A30" s="14" t="s">
        <v>80</v>
      </c>
      <c r="B30" s="88"/>
      <c r="C30" s="88">
        <f>SUM(B28:B29)</f>
        <v>47888.45</v>
      </c>
      <c r="D30" s="88"/>
      <c r="E30" s="88">
        <f>SUM(D28:D29)</f>
        <v>227491.25</v>
      </c>
      <c r="F30" s="88"/>
      <c r="G30" s="88">
        <f>SUM(F28:F29)</f>
        <v>117018.5</v>
      </c>
      <c r="H30" s="88"/>
      <c r="I30" s="88">
        <f>SUM(H28:H29)</f>
        <v>428335.25</v>
      </c>
      <c r="J30" s="88"/>
      <c r="K30" s="88">
        <f>SUM(J28:J29)</f>
        <v>379412</v>
      </c>
      <c r="L30" s="88"/>
      <c r="M30" s="88">
        <f>SUM(L28:L29)</f>
        <v>369084.7</v>
      </c>
      <c r="N30" s="88"/>
      <c r="O30" s="88">
        <f>SUM(N28:N29)</f>
        <v>351516.7</v>
      </c>
      <c r="P30" s="88"/>
      <c r="Q30" s="88">
        <f>SUM(P28:P29)</f>
        <v>351516.7</v>
      </c>
      <c r="R30" s="64"/>
      <c r="S30" s="88">
        <f>SUM(R28:R29)</f>
        <v>351516.7</v>
      </c>
      <c r="T30" s="64"/>
      <c r="U30" s="88">
        <f>SUM(T28:T29)</f>
        <v>351516.7</v>
      </c>
      <c r="V30" s="64"/>
      <c r="W30" s="88">
        <f>SUM(V28:V29)</f>
        <v>351516.7</v>
      </c>
      <c r="X30" s="64"/>
      <c r="Y30" s="88">
        <f>SUM(X28:X29)</f>
        <v>351516.7</v>
      </c>
      <c r="Z30" s="64"/>
      <c r="AA30" s="88">
        <f>SUM(Z28:Z29)</f>
        <v>351516.7</v>
      </c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</row>
    <row r="31" spans="1:40" ht="15.75" x14ac:dyDescent="0.25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</row>
    <row r="32" spans="1:40" ht="15.75" x14ac:dyDescent="0.25">
      <c r="A32" s="14" t="s">
        <v>81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</row>
    <row r="33" spans="1:40" ht="15.75" x14ac:dyDescent="0.25">
      <c r="A33" s="28" t="s">
        <v>226</v>
      </c>
      <c r="B33" s="88">
        <f>'Proyección del Costo Total'!C7</f>
        <v>0</v>
      </c>
      <c r="D33" s="88">
        <f>B33+'Proyección del Costo Total'!D7</f>
        <v>0</v>
      </c>
      <c r="F33" s="88">
        <f>D33+'Proyección del Costo Total'!E7</f>
        <v>75000</v>
      </c>
      <c r="H33" s="88">
        <f>F33+'Proyección del Costo Total'!F7</f>
        <v>75000</v>
      </c>
      <c r="J33" s="88">
        <f>H33+'Proyección del Costo Total'!G7</f>
        <v>75000</v>
      </c>
      <c r="L33" s="88">
        <f>J33+'Proyección del Costo Total'!H7</f>
        <v>75000</v>
      </c>
      <c r="N33" s="88">
        <f>L33+'Proyección del Costo Total'!I7</f>
        <v>75000</v>
      </c>
      <c r="P33" s="88">
        <f>N33+'Proyección del Costo Total'!J7</f>
        <v>75000</v>
      </c>
      <c r="R33" s="88">
        <f>P33+'Proyección del Costo Total'!K7</f>
        <v>75000</v>
      </c>
      <c r="T33" s="88">
        <f>R33+'Proyección del Costo Total'!L7</f>
        <v>75000</v>
      </c>
      <c r="V33" s="88">
        <f>T33+'Proyección del Costo Total'!M7</f>
        <v>75000</v>
      </c>
      <c r="X33" s="88">
        <f>V33+'Proyección del Costo Total'!N7</f>
        <v>75000</v>
      </c>
      <c r="Y33" s="64"/>
      <c r="Z33" s="88">
        <f>X33+'Proyección del Costo Total'!O7</f>
        <v>75000</v>
      </c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</row>
    <row r="34" spans="1:40" ht="15.75" x14ac:dyDescent="0.25">
      <c r="A34" s="28" t="s">
        <v>82</v>
      </c>
      <c r="B34" s="91">
        <f>-'Proyección del Costo Total'!C45</f>
        <v>0</v>
      </c>
      <c r="D34" s="91">
        <f>B34-'Proyección del Costo Total'!D45</f>
        <v>0</v>
      </c>
      <c r="F34" s="91">
        <f>D34-'Proyección del Costo Total'!E45</f>
        <v>-1249.9875</v>
      </c>
      <c r="H34" s="91">
        <f>F34-'Proyección del Costo Total'!F45</f>
        <v>-2499.9749999999999</v>
      </c>
      <c r="J34" s="91">
        <f>H34-'Proyección del Costo Total'!G45</f>
        <v>-3749.9624999999996</v>
      </c>
      <c r="L34" s="91">
        <f>J34-'Proyección del Costo Total'!H45</f>
        <v>-4999.95</v>
      </c>
      <c r="N34" s="91">
        <f>L34-'Proyección del Costo Total'!I45</f>
        <v>-6249.9375</v>
      </c>
      <c r="P34" s="91">
        <f>N34-'Proyección del Costo Total'!J45</f>
        <v>-7499.9250000000002</v>
      </c>
      <c r="R34" s="91">
        <f>P34-'Proyección del Costo Total'!K45</f>
        <v>-8749.9125000000004</v>
      </c>
      <c r="T34" s="91">
        <f>R34-'Proyección del Costo Total'!L45</f>
        <v>-9999.9</v>
      </c>
      <c r="V34" s="91">
        <f>T34-'Proyección del Costo Total'!M45</f>
        <v>-11249.887499999999</v>
      </c>
      <c r="X34" s="91">
        <f>V34-'Proyección del Costo Total'!N45</f>
        <v>-12499.874999999998</v>
      </c>
      <c r="Y34" s="64"/>
      <c r="Z34" s="91">
        <f>X34-'Proyección del Costo Total'!O45</f>
        <v>-12499.874999999998</v>
      </c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</row>
    <row r="35" spans="1:40" ht="15.75" x14ac:dyDescent="0.25">
      <c r="A35" s="14" t="s">
        <v>83</v>
      </c>
      <c r="B35" s="88"/>
      <c r="C35" s="91">
        <f>SUM(B33:B34)</f>
        <v>0</v>
      </c>
      <c r="D35" s="88"/>
      <c r="E35" s="91">
        <f t="shared" ref="E35" si="7">SUM(D33:D34)</f>
        <v>0</v>
      </c>
      <c r="F35" s="88"/>
      <c r="G35" s="91">
        <f t="shared" ref="G35" si="8">SUM(F33:F34)</f>
        <v>73750.012499999997</v>
      </c>
      <c r="H35" s="88"/>
      <c r="I35" s="91">
        <f t="shared" ref="I35" si="9">SUM(H33:H34)</f>
        <v>72500.024999999994</v>
      </c>
      <c r="J35" s="88"/>
      <c r="K35" s="91">
        <f t="shared" ref="K35" si="10">SUM(J33:J34)</f>
        <v>71250.037500000006</v>
      </c>
      <c r="L35" s="88"/>
      <c r="M35" s="91">
        <f t="shared" ref="M35" si="11">SUM(L33:L34)</f>
        <v>70000.05</v>
      </c>
      <c r="N35" s="88"/>
      <c r="O35" s="91">
        <f t="shared" ref="O35" si="12">SUM(N33:N34)</f>
        <v>68750.0625</v>
      </c>
      <c r="P35" s="88"/>
      <c r="Q35" s="91">
        <f t="shared" ref="Q35" si="13">SUM(P33:P34)</f>
        <v>67500.074999999997</v>
      </c>
      <c r="R35" s="88"/>
      <c r="S35" s="91">
        <f t="shared" ref="S35" si="14">SUM(R33:R34)</f>
        <v>66250.087499999994</v>
      </c>
      <c r="T35" s="88"/>
      <c r="U35" s="91">
        <f t="shared" ref="U35" si="15">SUM(T33:T34)</f>
        <v>65000.1</v>
      </c>
      <c r="V35" s="88"/>
      <c r="W35" s="91">
        <f t="shared" ref="W35" si="16">SUM(V33:V34)</f>
        <v>63750.112500000003</v>
      </c>
      <c r="X35" s="88"/>
      <c r="Y35" s="91">
        <f t="shared" ref="Y35" si="17">SUM(X33:X34)</f>
        <v>62500.125</v>
      </c>
      <c r="Z35" s="88"/>
      <c r="AA35" s="91">
        <f t="shared" ref="AA35" si="18">SUM(Z33:Z34)</f>
        <v>62500.125</v>
      </c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</row>
    <row r="36" spans="1:40" ht="15.75" x14ac:dyDescent="0.25">
      <c r="A36" s="102" t="s">
        <v>87</v>
      </c>
      <c r="B36" s="92"/>
      <c r="C36" s="103">
        <f>C30+C35</f>
        <v>47888.45</v>
      </c>
      <c r="D36" s="92"/>
      <c r="E36" s="103">
        <f t="shared" ref="E36" si="19">E30+E35</f>
        <v>227491.25</v>
      </c>
      <c r="F36" s="92"/>
      <c r="G36" s="103">
        <f t="shared" ref="G36" si="20">G30+G35</f>
        <v>190768.51250000001</v>
      </c>
      <c r="H36" s="92"/>
      <c r="I36" s="103">
        <f t="shared" ref="I36" si="21">I30+I35</f>
        <v>500835.27500000002</v>
      </c>
      <c r="J36" s="92"/>
      <c r="K36" s="103">
        <f t="shared" ref="K36" si="22">K30+K35</f>
        <v>450662.03749999998</v>
      </c>
      <c r="L36" s="92"/>
      <c r="M36" s="103">
        <f t="shared" ref="M36" si="23">M30+M35</f>
        <v>439084.75</v>
      </c>
      <c r="N36" s="92"/>
      <c r="O36" s="103">
        <f t="shared" ref="O36" si="24">O30+O35</f>
        <v>420266.76250000001</v>
      </c>
      <c r="P36" s="92"/>
      <c r="Q36" s="103">
        <f t="shared" ref="Q36" si="25">Q30+Q35</f>
        <v>419016.77500000002</v>
      </c>
      <c r="R36" s="92"/>
      <c r="S36" s="103">
        <f t="shared" ref="S36" si="26">S30+S35</f>
        <v>417766.78749999998</v>
      </c>
      <c r="T36" s="92"/>
      <c r="U36" s="103">
        <f t="shared" ref="U36" si="27">U30+U35</f>
        <v>416516.8</v>
      </c>
      <c r="V36" s="92"/>
      <c r="W36" s="103">
        <f t="shared" ref="W36" si="28">W30+W35</f>
        <v>415266.8125</v>
      </c>
      <c r="X36" s="92"/>
      <c r="Y36" s="103">
        <f t="shared" ref="Y36" si="29">Y30+Y35</f>
        <v>414016.82500000001</v>
      </c>
      <c r="Z36" s="92"/>
      <c r="AA36" s="103">
        <f t="shared" ref="AA36" si="30">AA30+AA35</f>
        <v>414016.82500000001</v>
      </c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</row>
    <row r="37" spans="1:40" ht="15.75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</row>
    <row r="38" spans="1:40" ht="15.75" x14ac:dyDescent="0.25">
      <c r="A38" t="s">
        <v>84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</row>
    <row r="39" spans="1:40" ht="15.75" x14ac:dyDescent="0.25">
      <c r="A39" s="14" t="s">
        <v>224</v>
      </c>
      <c r="B39" s="88">
        <f>B118</f>
        <v>50000</v>
      </c>
      <c r="D39" s="88">
        <f>C118</f>
        <v>50000</v>
      </c>
      <c r="F39" s="88">
        <f>D118</f>
        <v>50000</v>
      </c>
      <c r="H39" s="88">
        <f>E118</f>
        <v>50000</v>
      </c>
      <c r="J39" s="88">
        <f>F118</f>
        <v>50000</v>
      </c>
      <c r="L39" s="88">
        <f>G118</f>
        <v>0</v>
      </c>
      <c r="N39" s="88">
        <f>H118</f>
        <v>0</v>
      </c>
      <c r="P39" s="88">
        <f>I118</f>
        <v>0</v>
      </c>
      <c r="R39" s="88">
        <f>J118</f>
        <v>0</v>
      </c>
      <c r="T39" s="88">
        <f>K118</f>
        <v>0</v>
      </c>
      <c r="V39" s="88">
        <f>L118</f>
        <v>0</v>
      </c>
      <c r="X39" s="88">
        <f>M118</f>
        <v>0</v>
      </c>
      <c r="Z39" s="88">
        <f>N118</f>
        <v>0</v>
      </c>
      <c r="AA39" s="88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</row>
    <row r="40" spans="1:40" ht="15.75" x14ac:dyDescent="0.25">
      <c r="A40" s="14" t="s">
        <v>89</v>
      </c>
      <c r="B40" s="91">
        <f>B124</f>
        <v>0</v>
      </c>
      <c r="D40" s="91">
        <f>C124</f>
        <v>26352</v>
      </c>
      <c r="F40" s="91">
        <f>D124</f>
        <v>0</v>
      </c>
      <c r="H40" s="91">
        <f>E124</f>
        <v>43920</v>
      </c>
      <c r="J40" s="91">
        <f>F124</f>
        <v>0</v>
      </c>
      <c r="L40" s="91">
        <f>G124</f>
        <v>17568</v>
      </c>
      <c r="N40" s="91">
        <f>H124</f>
        <v>0</v>
      </c>
      <c r="P40" s="91">
        <f>I124</f>
        <v>0</v>
      </c>
      <c r="R40" s="91">
        <f>J124</f>
        <v>0</v>
      </c>
      <c r="T40" s="91">
        <f>K124</f>
        <v>0</v>
      </c>
      <c r="V40" s="91">
        <f>L124</f>
        <v>0</v>
      </c>
      <c r="X40" s="91">
        <f>M124</f>
        <v>0</v>
      </c>
      <c r="Z40" s="91">
        <f>N124</f>
        <v>0</v>
      </c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</row>
    <row r="41" spans="1:40" ht="15.75" x14ac:dyDescent="0.25">
      <c r="A41" s="1" t="s">
        <v>85</v>
      </c>
      <c r="B41" s="1"/>
      <c r="C41" s="92">
        <f>SUM(B39:B40)</f>
        <v>50000</v>
      </c>
      <c r="D41" s="1"/>
      <c r="E41" s="92">
        <f>SUM(D39:D40)</f>
        <v>76352</v>
      </c>
      <c r="F41" s="1"/>
      <c r="G41" s="92">
        <f>SUM(F39:F40)</f>
        <v>50000</v>
      </c>
      <c r="H41" s="1"/>
      <c r="I41" s="92">
        <f>SUM(H39:H40)</f>
        <v>93920</v>
      </c>
      <c r="J41" s="1"/>
      <c r="K41" s="92">
        <f>SUM(J39:J40)</f>
        <v>50000</v>
      </c>
      <c r="L41" s="1"/>
      <c r="M41" s="92">
        <f>SUM(L39:L40)</f>
        <v>17568</v>
      </c>
      <c r="N41" s="1"/>
      <c r="O41" s="92">
        <f>SUM(N39:N40)</f>
        <v>0</v>
      </c>
      <c r="P41" s="1"/>
      <c r="Q41" s="92">
        <f>SUM(P39:P40)</f>
        <v>0</v>
      </c>
      <c r="R41" s="1"/>
      <c r="S41" s="92">
        <f>SUM(R39:R40)</f>
        <v>0</v>
      </c>
      <c r="T41" s="1"/>
      <c r="U41" s="92">
        <f>SUM(T39:T40)</f>
        <v>0</v>
      </c>
      <c r="V41" s="1"/>
      <c r="W41" s="92">
        <f>SUM(V39:V40)</f>
        <v>0</v>
      </c>
      <c r="X41" s="1"/>
      <c r="Y41" s="92">
        <f>SUM(X39:X40)</f>
        <v>0</v>
      </c>
      <c r="Z41" s="1"/>
      <c r="AA41" s="92">
        <f>SUM(Z39:Z40)</f>
        <v>0</v>
      </c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</row>
    <row r="42" spans="1:40" ht="15.75" x14ac:dyDescent="0.25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  <row r="43" spans="1:40" ht="15.75" x14ac:dyDescent="0.25">
      <c r="A43" t="s">
        <v>86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</row>
    <row r="44" spans="1:40" ht="15.75" x14ac:dyDescent="0.25">
      <c r="A44" s="14" t="s">
        <v>31</v>
      </c>
      <c r="B44" s="88"/>
      <c r="C44" s="91">
        <f>C65</f>
        <v>-2111.5500000000002</v>
      </c>
      <c r="D44" s="88"/>
      <c r="E44" s="91">
        <f>C44+E65</f>
        <v>151139.25</v>
      </c>
      <c r="F44" s="88"/>
      <c r="G44" s="91">
        <f>E44+G65</f>
        <v>140268.51250000001</v>
      </c>
      <c r="H44" s="88"/>
      <c r="I44" s="91">
        <f>G44+I65</f>
        <v>405915.27500000002</v>
      </c>
      <c r="J44" s="88"/>
      <c r="K44" s="91">
        <f>I44+K65</f>
        <v>399162.03750000003</v>
      </c>
      <c r="L44" s="88"/>
      <c r="M44" s="91">
        <f>K44+M65</f>
        <v>419516.75000000006</v>
      </c>
      <c r="N44" s="88"/>
      <c r="O44" s="91">
        <f>M44+O65</f>
        <v>417766.76250000007</v>
      </c>
      <c r="P44" s="88"/>
      <c r="Q44" s="91">
        <f>O44+Q65</f>
        <v>416016.77500000008</v>
      </c>
      <c r="R44" s="88"/>
      <c r="S44" s="91">
        <f>Q44+S65</f>
        <v>414266.78750000009</v>
      </c>
      <c r="T44" s="88"/>
      <c r="U44" s="91">
        <f>S44+U65</f>
        <v>412516.8000000001</v>
      </c>
      <c r="V44" s="88"/>
      <c r="W44" s="91">
        <f>U44+W65</f>
        <v>410766.81250000012</v>
      </c>
      <c r="X44" s="88"/>
      <c r="Y44" s="91">
        <f>W44+Y65</f>
        <v>409016.82500000013</v>
      </c>
      <c r="Z44" s="88"/>
      <c r="AA44" s="91">
        <f>Y44+AA65</f>
        <v>408516.82500000013</v>
      </c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</row>
    <row r="45" spans="1:40" ht="15.75" x14ac:dyDescent="0.25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</row>
    <row r="46" spans="1:40" ht="15.75" x14ac:dyDescent="0.25">
      <c r="A46" s="102" t="s">
        <v>88</v>
      </c>
      <c r="B46" s="88"/>
      <c r="C46" s="103">
        <f>C41+C44</f>
        <v>47888.45</v>
      </c>
      <c r="D46" s="88"/>
      <c r="E46" s="103">
        <f t="shared" ref="E46" si="31">E41+E44</f>
        <v>227491.25</v>
      </c>
      <c r="F46" s="88"/>
      <c r="G46" s="103">
        <f t="shared" ref="G46" si="32">G41+G44</f>
        <v>190268.51250000001</v>
      </c>
      <c r="H46" s="88"/>
      <c r="I46" s="103">
        <f t="shared" ref="I46" si="33">I41+I44</f>
        <v>499835.27500000002</v>
      </c>
      <c r="J46" s="88"/>
      <c r="K46" s="103">
        <f t="shared" ref="K46" si="34">K41+K44</f>
        <v>449162.03750000003</v>
      </c>
      <c r="L46" s="88"/>
      <c r="M46" s="103">
        <f t="shared" ref="M46" si="35">M41+M44</f>
        <v>437084.75000000006</v>
      </c>
      <c r="N46" s="88"/>
      <c r="O46" s="103">
        <f t="shared" ref="O46" si="36">O41+O44</f>
        <v>417766.76250000007</v>
      </c>
      <c r="P46" s="88"/>
      <c r="Q46" s="103">
        <f t="shared" ref="Q46" si="37">Q41+Q44</f>
        <v>416016.77500000008</v>
      </c>
      <c r="R46" s="88"/>
      <c r="S46" s="103">
        <f t="shared" ref="S46" si="38">S41+S44</f>
        <v>414266.78750000009</v>
      </c>
      <c r="T46" s="88"/>
      <c r="U46" s="103">
        <f t="shared" ref="U46" si="39">U41+U44</f>
        <v>412516.8000000001</v>
      </c>
      <c r="V46" s="88"/>
      <c r="W46" s="103">
        <f t="shared" ref="W46" si="40">W41+W44</f>
        <v>410766.81250000012</v>
      </c>
      <c r="X46" s="88"/>
      <c r="Y46" s="103">
        <f t="shared" ref="Y46" si="41">Y41+Y44</f>
        <v>409016.82500000013</v>
      </c>
      <c r="Z46" s="88"/>
      <c r="AA46" s="103">
        <f t="shared" ref="AA46" si="42">AA41+AA44</f>
        <v>408516.82500000013</v>
      </c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</row>
    <row r="47" spans="1:40" ht="15.75" x14ac:dyDescent="0.25">
      <c r="A47" s="1" t="s">
        <v>97</v>
      </c>
      <c r="B47" s="88"/>
      <c r="C47" s="92">
        <f>C36-C46</f>
        <v>0</v>
      </c>
      <c r="D47" s="88"/>
      <c r="E47" s="92">
        <f>E36-E46</f>
        <v>0</v>
      </c>
      <c r="F47" s="88"/>
      <c r="G47" s="92">
        <f>G36-G46</f>
        <v>500</v>
      </c>
      <c r="H47" s="88"/>
      <c r="I47" s="92">
        <f>I36-I46</f>
        <v>1000</v>
      </c>
      <c r="J47" s="88"/>
      <c r="K47" s="92">
        <f>K36-K46</f>
        <v>1499.9999999999418</v>
      </c>
      <c r="L47" s="88"/>
      <c r="M47" s="92">
        <f>M36-M46</f>
        <v>1999.9999999999418</v>
      </c>
      <c r="N47" s="88"/>
      <c r="O47" s="92">
        <f>O36-O46</f>
        <v>2499.9999999999418</v>
      </c>
      <c r="P47" s="88"/>
      <c r="Q47" s="92">
        <f>Q36-Q46</f>
        <v>2999.9999999999418</v>
      </c>
      <c r="R47" s="88"/>
      <c r="S47" s="92">
        <f>S36-S46</f>
        <v>3499.9999999998836</v>
      </c>
      <c r="T47" s="88"/>
      <c r="U47" s="92">
        <f>U36-U46</f>
        <v>3999.9999999998836</v>
      </c>
      <c r="V47" s="88"/>
      <c r="W47" s="92">
        <f>W36-W46</f>
        <v>4499.9999999998836</v>
      </c>
      <c r="X47" s="88"/>
      <c r="Y47" s="92">
        <f>Y36-Y46</f>
        <v>4999.9999999998836</v>
      </c>
      <c r="Z47" s="88"/>
      <c r="AA47" s="92">
        <f>AA36-AA46</f>
        <v>5499.9999999998836</v>
      </c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</row>
    <row r="48" spans="1:40" ht="15.75" x14ac:dyDescent="0.25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</row>
    <row r="49" spans="1:40" x14ac:dyDescent="0.25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</row>
    <row r="50" spans="1:40" ht="21" x14ac:dyDescent="0.35">
      <c r="A50" s="101" t="s">
        <v>32</v>
      </c>
      <c r="B50" s="147" t="s">
        <v>207</v>
      </c>
      <c r="C50" s="147"/>
      <c r="D50" s="147" t="s">
        <v>52</v>
      </c>
      <c r="E50" s="147"/>
      <c r="F50" s="147" t="s">
        <v>53</v>
      </c>
      <c r="G50" s="147"/>
      <c r="H50" s="147" t="s">
        <v>54</v>
      </c>
      <c r="I50" s="147"/>
      <c r="J50" s="147" t="s">
        <v>55</v>
      </c>
      <c r="K50" s="147"/>
      <c r="L50" s="147" t="s">
        <v>56</v>
      </c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 t="s">
        <v>62</v>
      </c>
      <c r="AC50" s="147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</row>
    <row r="51" spans="1:40" x14ac:dyDescent="0.25">
      <c r="A51" s="57" t="s">
        <v>18</v>
      </c>
      <c r="B51" s="70"/>
      <c r="C51" s="71">
        <f>B52+B53</f>
        <v>0</v>
      </c>
      <c r="D51" s="70"/>
      <c r="E51" s="71">
        <f>D52+D53</f>
        <v>164700</v>
      </c>
      <c r="F51" s="70"/>
      <c r="G51" s="71">
        <f>F52+F53</f>
        <v>0</v>
      </c>
      <c r="H51" s="70"/>
      <c r="I51" s="71">
        <f>H52+H53</f>
        <v>274500</v>
      </c>
      <c r="J51" s="70"/>
      <c r="K51" s="71">
        <f>J52+J53</f>
        <v>0</v>
      </c>
      <c r="L51" s="70"/>
      <c r="M51" s="71">
        <f>L52+L53</f>
        <v>109800</v>
      </c>
      <c r="N51" s="70"/>
      <c r="O51" s="71">
        <f>N52+N53</f>
        <v>0</v>
      </c>
      <c r="P51" s="70"/>
      <c r="Q51" s="71">
        <f>P52+P53</f>
        <v>0</v>
      </c>
      <c r="R51" s="70"/>
      <c r="S51" s="71">
        <f>R52+R53</f>
        <v>0</v>
      </c>
      <c r="T51" s="70"/>
      <c r="U51" s="71">
        <f>T52+T53</f>
        <v>0</v>
      </c>
      <c r="V51" s="70"/>
      <c r="W51" s="71">
        <f>V52+V53</f>
        <v>0</v>
      </c>
      <c r="X51" s="70"/>
      <c r="Y51" s="71">
        <f>X52+X53</f>
        <v>0</v>
      </c>
      <c r="Z51" s="70"/>
      <c r="AA51" s="71">
        <f>Z52+Z53</f>
        <v>0</v>
      </c>
      <c r="AB51" s="70"/>
      <c r="AC51" s="71">
        <f>AB52+AB53</f>
        <v>549000</v>
      </c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</row>
    <row r="52" spans="1:40" x14ac:dyDescent="0.25">
      <c r="A52" s="58" t="s">
        <v>33</v>
      </c>
      <c r="B52" s="72">
        <f>IF($B$4="S",'Proyección del Costo Total'!C30,0)</f>
        <v>0</v>
      </c>
      <c r="C52" s="73"/>
      <c r="D52" s="72">
        <f>IF($B$4="S",'Proyección del Costo Total'!D30,0)</f>
        <v>0</v>
      </c>
      <c r="E52" s="73"/>
      <c r="F52" s="72">
        <f>IF($B$4="S",'Proyección del Costo Total'!E30,0)</f>
        <v>0</v>
      </c>
      <c r="G52" s="73"/>
      <c r="H52" s="72">
        <f>IF($B$4="S",'Proyección del Costo Total'!F30,0)</f>
        <v>0</v>
      </c>
      <c r="I52" s="73"/>
      <c r="J52" s="72">
        <f>IF($B$4="S",'Proyección del Costo Total'!G30,0)</f>
        <v>0</v>
      </c>
      <c r="K52" s="73"/>
      <c r="L52" s="72">
        <f>IF($B$4="S",'Proyección del Costo Total'!H30,0)</f>
        <v>0</v>
      </c>
      <c r="M52" s="73"/>
      <c r="N52" s="72">
        <f>IF($B$4="S",'Proyección del Costo Total'!I27,0)</f>
        <v>0</v>
      </c>
      <c r="O52" s="73"/>
      <c r="P52" s="72">
        <f>IF($B$4="S",'Proyección del Costo Total'!J27,0)</f>
        <v>0</v>
      </c>
      <c r="Q52" s="73"/>
      <c r="R52" s="72">
        <f>IF($B$4="S",'Proyección del Costo Total'!K27,0)</f>
        <v>0</v>
      </c>
      <c r="S52" s="73"/>
      <c r="T52" s="72">
        <f>IF($B$4="S",'Proyección del Costo Total'!L27,0)</f>
        <v>0</v>
      </c>
      <c r="U52" s="73"/>
      <c r="V52" s="72">
        <f>IF($B$4="S",'Proyección del Costo Total'!M27,0)</f>
        <v>0</v>
      </c>
      <c r="W52" s="73"/>
      <c r="X52" s="72">
        <f>IF($B$4="S",'Proyección del Costo Total'!N27,0)</f>
        <v>0</v>
      </c>
      <c r="Y52" s="73"/>
      <c r="Z52" s="72">
        <f>IF($B$4="S",'Proyección del Costo Total'!O27,0)</f>
        <v>0</v>
      </c>
      <c r="AA52" s="73"/>
      <c r="AB52" s="72">
        <f>B52+D52+F52+H52+J52+L52+N52+P52+R52+T52+V52+X52+Z52</f>
        <v>0</v>
      </c>
      <c r="AC52" s="73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</row>
    <row r="53" spans="1:40" x14ac:dyDescent="0.25">
      <c r="A53" s="59" t="s">
        <v>34</v>
      </c>
      <c r="B53" s="74"/>
      <c r="C53" s="73"/>
      <c r="D53" s="74">
        <f>$B$9*D$7*'Estimacion Costos'!$F$33*0.3</f>
        <v>164700</v>
      </c>
      <c r="E53" s="73"/>
      <c r="F53" s="74"/>
      <c r="G53" s="73"/>
      <c r="H53" s="74">
        <f>$B$9*F$7*'Estimacion Costos'!$F$33*0.5</f>
        <v>274500</v>
      </c>
      <c r="I53" s="73"/>
      <c r="J53" s="74"/>
      <c r="K53" s="73"/>
      <c r="L53" s="74">
        <f>$B$9*H$7*'Estimacion Costos'!$F$33*0.2</f>
        <v>109800</v>
      </c>
      <c r="M53" s="73"/>
      <c r="N53" s="74">
        <f>$B$9*I$7</f>
        <v>0</v>
      </c>
      <c r="O53" s="73"/>
      <c r="P53" s="74">
        <f>$B$9*J$7</f>
        <v>0</v>
      </c>
      <c r="Q53" s="73"/>
      <c r="R53" s="74">
        <f>$B$9*K$7</f>
        <v>0</v>
      </c>
      <c r="S53" s="73"/>
      <c r="T53" s="74">
        <f>$B$9*L$7</f>
        <v>0</v>
      </c>
      <c r="U53" s="73"/>
      <c r="V53" s="74">
        <f>$B$9*M$7</f>
        <v>0</v>
      </c>
      <c r="W53" s="73"/>
      <c r="X53" s="74">
        <f>$B$9*N$7</f>
        <v>0</v>
      </c>
      <c r="Y53" s="73"/>
      <c r="Z53" s="74">
        <f>$B$9*O$7</f>
        <v>0</v>
      </c>
      <c r="AA53" s="73"/>
      <c r="AB53" s="74">
        <f>B53+D53+F53+H53+J53+L53+N53+P53+R53+T53+V53+X53+Z53</f>
        <v>549000</v>
      </c>
      <c r="AC53" s="73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</row>
    <row r="54" spans="1:40" x14ac:dyDescent="0.25">
      <c r="A54" s="46" t="s">
        <v>35</v>
      </c>
      <c r="B54" s="75"/>
      <c r="C54" s="73"/>
      <c r="D54" s="75"/>
      <c r="E54" s="73"/>
      <c r="F54" s="75"/>
      <c r="G54" s="73"/>
      <c r="H54" s="75"/>
      <c r="I54" s="73"/>
      <c r="J54" s="75"/>
      <c r="K54" s="73"/>
      <c r="L54" s="75"/>
      <c r="M54" s="73"/>
      <c r="N54" s="75"/>
      <c r="O54" s="73"/>
      <c r="P54" s="75"/>
      <c r="Q54" s="73"/>
      <c r="R54" s="75"/>
      <c r="S54" s="73"/>
      <c r="T54" s="75"/>
      <c r="U54" s="73"/>
      <c r="V54" s="75"/>
      <c r="W54" s="73"/>
      <c r="X54" s="75"/>
      <c r="Y54" s="73"/>
      <c r="Z54" s="76"/>
      <c r="AA54" s="76"/>
      <c r="AB54" s="75"/>
      <c r="AC54" s="73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 x14ac:dyDescent="0.25">
      <c r="A55" s="59" t="s">
        <v>4</v>
      </c>
      <c r="B55" s="75">
        <f>'Proyección del Costo Total'!C13</f>
        <v>0</v>
      </c>
      <c r="C55" s="73"/>
      <c r="D55" s="75">
        <f>'Proyección del Costo Total'!D13</f>
        <v>0</v>
      </c>
      <c r="E55" s="73"/>
      <c r="F55" s="75">
        <f>'Proyección del Costo Total'!E13</f>
        <v>0</v>
      </c>
      <c r="G55" s="73"/>
      <c r="H55" s="75">
        <f>'Proyección del Costo Total'!F13</f>
        <v>2000</v>
      </c>
      <c r="I55" s="73"/>
      <c r="J55" s="75">
        <f>'Proyección del Costo Total'!G13</f>
        <v>0</v>
      </c>
      <c r="K55" s="73"/>
      <c r="L55" s="75">
        <f>'Proyección del Costo Total'!H13</f>
        <v>0</v>
      </c>
      <c r="M55" s="73"/>
      <c r="N55" s="75">
        <f>'Proyección del Costo Total'!I13</f>
        <v>0</v>
      </c>
      <c r="O55" s="73"/>
      <c r="P55" s="75">
        <f>'Proyección del Costo Total'!J13</f>
        <v>0</v>
      </c>
      <c r="Q55" s="73"/>
      <c r="R55" s="75">
        <f>'Proyección del Costo Total'!K13</f>
        <v>0</v>
      </c>
      <c r="S55" s="73"/>
      <c r="T55" s="75">
        <f>'Proyección del Costo Total'!L13</f>
        <v>0</v>
      </c>
      <c r="U55" s="73"/>
      <c r="V55" s="75">
        <f>'Proyección del Costo Total'!M13</f>
        <v>0</v>
      </c>
      <c r="W55" s="73"/>
      <c r="X55" s="75">
        <f>'Proyección del Costo Total'!N13</f>
        <v>0</v>
      </c>
      <c r="Y55" s="73"/>
      <c r="Z55" s="75">
        <f>'Proyección del Costo Total'!O13</f>
        <v>0</v>
      </c>
      <c r="AA55" s="76"/>
      <c r="AB55" s="75">
        <f>B55+D55+F55+H55+J55+L55+N55+P55+R55+T55+V55+X55+Z55</f>
        <v>2000</v>
      </c>
      <c r="AC55" s="73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</row>
    <row r="56" spans="1:40" x14ac:dyDescent="0.25">
      <c r="A56" s="59" t="s">
        <v>36</v>
      </c>
      <c r="B56" s="77">
        <f>'Proyección del Costo Total'!C30</f>
        <v>2011</v>
      </c>
      <c r="C56" s="73"/>
      <c r="D56" s="77">
        <f>'Proyección del Costo Total'!D30</f>
        <v>10904</v>
      </c>
      <c r="E56" s="73"/>
      <c r="F56" s="77">
        <f>'Proyección del Costo Total'!E30</f>
        <v>5115</v>
      </c>
      <c r="G56" s="73"/>
      <c r="H56" s="77">
        <f>'Proyección del Costo Total'!F30</f>
        <v>4765</v>
      </c>
      <c r="I56" s="73"/>
      <c r="J56" s="77">
        <f>'Proyección del Costo Total'!G30</f>
        <v>4765</v>
      </c>
      <c r="K56" s="73"/>
      <c r="L56" s="77">
        <f>'Proyección del Costo Total'!H30</f>
        <v>2186</v>
      </c>
      <c r="M56" s="73"/>
      <c r="N56" s="77">
        <f>'Proyección del Costo Total'!I30</f>
        <v>0</v>
      </c>
      <c r="O56" s="73"/>
      <c r="P56" s="77">
        <f>'Proyección del Costo Total'!J30</f>
        <v>0</v>
      </c>
      <c r="Q56" s="73"/>
      <c r="R56" s="77">
        <f>'Proyección del Costo Total'!K30</f>
        <v>0</v>
      </c>
      <c r="S56" s="73"/>
      <c r="T56" s="77">
        <f>'Proyección del Costo Total'!L30</f>
        <v>0</v>
      </c>
      <c r="U56" s="73"/>
      <c r="V56" s="77">
        <f>'Proyección del Costo Total'!M30</f>
        <v>0</v>
      </c>
      <c r="W56" s="73"/>
      <c r="X56" s="77">
        <f>'Proyección del Costo Total'!N30</f>
        <v>0</v>
      </c>
      <c r="Y56" s="73"/>
      <c r="Z56" s="77">
        <f>'Proyección del Costo Total'!O30</f>
        <v>0</v>
      </c>
      <c r="AA56" s="76"/>
      <c r="AB56" s="77">
        <f>B56+D56+F56+H56+J56+L56+N56+P56+R56+T56+V56+X56+Z56</f>
        <v>29746</v>
      </c>
      <c r="AC56" s="73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</row>
    <row r="57" spans="1:40" x14ac:dyDescent="0.25">
      <c r="A57" s="46" t="s">
        <v>35</v>
      </c>
      <c r="B57" s="75"/>
      <c r="C57" s="78">
        <f>SUM(B55:B56)</f>
        <v>2011</v>
      </c>
      <c r="D57" s="75"/>
      <c r="E57" s="78">
        <f>SUM(D55:D56)</f>
        <v>10904</v>
      </c>
      <c r="F57" s="75"/>
      <c r="G57" s="78">
        <f>SUM(F55:F56)</f>
        <v>5115</v>
      </c>
      <c r="H57" s="75"/>
      <c r="I57" s="78">
        <f>SUM(H55:H56)</f>
        <v>6765</v>
      </c>
      <c r="J57" s="75"/>
      <c r="K57" s="78">
        <f>SUM(J55:J56)</f>
        <v>4765</v>
      </c>
      <c r="L57" s="75"/>
      <c r="M57" s="78">
        <f>SUM(L55:L56)</f>
        <v>2186</v>
      </c>
      <c r="N57" s="75"/>
      <c r="O57" s="78">
        <f>SUM(N55:N56)</f>
        <v>0</v>
      </c>
      <c r="P57" s="75"/>
      <c r="Q57" s="78">
        <f>SUM(P55:P56)</f>
        <v>0</v>
      </c>
      <c r="R57" s="75"/>
      <c r="S57" s="78">
        <f>SUM(R55:R56)</f>
        <v>0</v>
      </c>
      <c r="T57" s="75"/>
      <c r="U57" s="78">
        <f>SUM(T55:T56)</f>
        <v>0</v>
      </c>
      <c r="V57" s="75"/>
      <c r="W57" s="78">
        <f>SUM(V55:V56)</f>
        <v>0</v>
      </c>
      <c r="X57" s="75"/>
      <c r="Y57" s="78">
        <f>SUM(X55:X56)</f>
        <v>0</v>
      </c>
      <c r="Z57" s="76"/>
      <c r="AA57" s="78">
        <f>SUM(Z55:Z56)</f>
        <v>0</v>
      </c>
      <c r="AB57" s="75"/>
      <c r="AC57" s="78">
        <f>SUM(AB55:AB56)</f>
        <v>31746</v>
      </c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</row>
    <row r="58" spans="1:40" x14ac:dyDescent="0.25">
      <c r="A58" s="46" t="s">
        <v>37</v>
      </c>
      <c r="B58" s="75"/>
      <c r="C58" s="73">
        <f>C51-C57</f>
        <v>-2011</v>
      </c>
      <c r="D58" s="75"/>
      <c r="E58" s="73">
        <f>E51-E57</f>
        <v>153796</v>
      </c>
      <c r="F58" s="75"/>
      <c r="G58" s="73">
        <f>G51-G57</f>
        <v>-5115</v>
      </c>
      <c r="H58" s="75"/>
      <c r="I58" s="73">
        <f>I51-I57</f>
        <v>267735</v>
      </c>
      <c r="J58" s="75"/>
      <c r="K58" s="73">
        <f>K51-K57</f>
        <v>-4765</v>
      </c>
      <c r="L58" s="75"/>
      <c r="M58" s="73">
        <f>M51-M57</f>
        <v>107614</v>
      </c>
      <c r="N58" s="75"/>
      <c r="O58" s="73">
        <f>O51-O57</f>
        <v>0</v>
      </c>
      <c r="P58" s="75"/>
      <c r="Q58" s="73">
        <f>Q51-Q57</f>
        <v>0</v>
      </c>
      <c r="R58" s="75"/>
      <c r="S58" s="73">
        <f>S51-S57</f>
        <v>0</v>
      </c>
      <c r="T58" s="75"/>
      <c r="U58" s="73">
        <f>U51-U57</f>
        <v>0</v>
      </c>
      <c r="V58" s="75"/>
      <c r="W58" s="73">
        <f>W51-W57</f>
        <v>0</v>
      </c>
      <c r="X58" s="75"/>
      <c r="Y58" s="73">
        <f>Y51-Y57</f>
        <v>0</v>
      </c>
      <c r="Z58" s="76"/>
      <c r="AA58" s="73">
        <f>AA51-AA57</f>
        <v>0</v>
      </c>
      <c r="AB58" s="75"/>
      <c r="AC58" s="73">
        <f>AC51-AC57</f>
        <v>517254</v>
      </c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</row>
    <row r="59" spans="1:40" x14ac:dyDescent="0.25">
      <c r="A59" s="46" t="s">
        <v>38</v>
      </c>
      <c r="B59" s="75"/>
      <c r="C59" s="73"/>
      <c r="D59" s="75"/>
      <c r="E59" s="73"/>
      <c r="F59" s="75"/>
      <c r="G59" s="73"/>
      <c r="H59" s="75"/>
      <c r="I59" s="73"/>
      <c r="J59" s="75"/>
      <c r="K59" s="73"/>
      <c r="L59" s="75"/>
      <c r="M59" s="73"/>
      <c r="N59" s="75"/>
      <c r="O59" s="73"/>
      <c r="P59" s="75"/>
      <c r="Q59" s="73"/>
      <c r="R59" s="75"/>
      <c r="S59" s="73"/>
      <c r="T59" s="75"/>
      <c r="U59" s="73"/>
      <c r="V59" s="75"/>
      <c r="W59" s="73"/>
      <c r="X59" s="75"/>
      <c r="Y59" s="73"/>
      <c r="Z59" s="76"/>
      <c r="AA59" s="76"/>
      <c r="AB59" s="75"/>
      <c r="AC59" s="73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</row>
    <row r="60" spans="1:40" x14ac:dyDescent="0.25">
      <c r="A60" s="59" t="s">
        <v>39</v>
      </c>
      <c r="B60" s="75">
        <f>'Proyección del Costo Total'!C19</f>
        <v>0</v>
      </c>
      <c r="C60" s="73"/>
      <c r="D60" s="75">
        <f>'Proyección del Costo Total'!D19</f>
        <v>0</v>
      </c>
      <c r="E60" s="73"/>
      <c r="F60" s="75">
        <f>'Proyección del Costo Total'!E19</f>
        <v>0</v>
      </c>
      <c r="G60" s="73"/>
      <c r="H60" s="75">
        <f>'Proyección del Costo Total'!F19</f>
        <v>0</v>
      </c>
      <c r="I60" s="73"/>
      <c r="J60" s="75">
        <f>'Proyección del Costo Total'!G19</f>
        <v>0</v>
      </c>
      <c r="K60" s="73"/>
      <c r="L60" s="75">
        <f>'Proyección del Costo Total'!H19</f>
        <v>81333.333333333328</v>
      </c>
      <c r="M60" s="73"/>
      <c r="N60" s="75">
        <f>'Proyección del Costo Total'!I19</f>
        <v>0</v>
      </c>
      <c r="O60" s="73"/>
      <c r="P60" s="75">
        <f>'Proyección del Costo Total'!J19</f>
        <v>0</v>
      </c>
      <c r="Q60" s="73"/>
      <c r="R60" s="75">
        <f>'Proyección del Costo Total'!K19</f>
        <v>0</v>
      </c>
      <c r="S60" s="73"/>
      <c r="T60" s="75">
        <f>'Proyección del Costo Total'!L19</f>
        <v>0</v>
      </c>
      <c r="U60" s="73"/>
      <c r="V60" s="75">
        <f>'Proyección del Costo Total'!M19</f>
        <v>0</v>
      </c>
      <c r="W60" s="73"/>
      <c r="X60" s="75">
        <f>'Proyección del Costo Total'!N19</f>
        <v>0</v>
      </c>
      <c r="Y60" s="73"/>
      <c r="Z60" s="75">
        <f>'Proyección del Costo Total'!O19</f>
        <v>0</v>
      </c>
      <c r="AA60" s="76"/>
      <c r="AB60" s="75">
        <f>B60+D60+F60+H60+J60+L60+N60+P60+R60+T60+V60+X60+Z60</f>
        <v>81333.333333333328</v>
      </c>
      <c r="AC60" s="73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</row>
    <row r="61" spans="1:40" x14ac:dyDescent="0.25">
      <c r="A61" s="59" t="s">
        <v>20</v>
      </c>
      <c r="B61" s="79">
        <f>'Proyección del Costo Total'!C33</f>
        <v>100.55000000000001</v>
      </c>
      <c r="C61" s="73"/>
      <c r="D61" s="79">
        <f>'Proyección del Costo Total'!D33</f>
        <v>545.20000000000005</v>
      </c>
      <c r="E61" s="73"/>
      <c r="F61" s="79">
        <f>'Proyección del Costo Total'!E33</f>
        <v>4005.75</v>
      </c>
      <c r="G61" s="73"/>
      <c r="H61" s="79">
        <f>'Proyección del Costo Total'!F33</f>
        <v>338.25</v>
      </c>
      <c r="I61" s="73"/>
      <c r="J61" s="79">
        <f>'Proyección del Costo Total'!G33</f>
        <v>238.25</v>
      </c>
      <c r="K61" s="73"/>
      <c r="L61" s="79">
        <f>'Proyección del Costo Total'!H33</f>
        <v>4175.9666666666662</v>
      </c>
      <c r="M61" s="73"/>
      <c r="N61" s="79">
        <f>'Proyección del Costo Total'!I33</f>
        <v>0</v>
      </c>
      <c r="O61" s="73"/>
      <c r="P61" s="79">
        <f>'Proyección del Costo Total'!J33</f>
        <v>0</v>
      </c>
      <c r="Q61" s="73"/>
      <c r="R61" s="79">
        <f>'Proyección del Costo Total'!K33</f>
        <v>0</v>
      </c>
      <c r="S61" s="73"/>
      <c r="T61" s="79">
        <f>'Proyección del Costo Total'!L33</f>
        <v>0</v>
      </c>
      <c r="U61" s="73"/>
      <c r="V61" s="79">
        <f>'Proyección del Costo Total'!M33</f>
        <v>0</v>
      </c>
      <c r="W61" s="73"/>
      <c r="X61" s="79">
        <f>'Proyección del Costo Total'!N33</f>
        <v>0</v>
      </c>
      <c r="Y61" s="73"/>
      <c r="Z61" s="79">
        <f>'Proyección del Costo Total'!O33</f>
        <v>0</v>
      </c>
      <c r="AA61" s="73"/>
      <c r="AB61" s="79">
        <f>'Proyección del Costo Total'!P33</f>
        <v>9403.9666666666672</v>
      </c>
      <c r="AC61" s="73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</row>
    <row r="62" spans="1:40" x14ac:dyDescent="0.25">
      <c r="A62" s="46" t="s">
        <v>38</v>
      </c>
      <c r="B62" s="75"/>
      <c r="C62" s="78">
        <f>SUM(B60:B61)</f>
        <v>100.55000000000001</v>
      </c>
      <c r="D62" s="75"/>
      <c r="E62" s="78">
        <f>SUM(D60:D61)</f>
        <v>545.20000000000005</v>
      </c>
      <c r="F62" s="75"/>
      <c r="G62" s="78">
        <f>SUM(F60:F61)</f>
        <v>4005.75</v>
      </c>
      <c r="H62" s="75"/>
      <c r="I62" s="78">
        <f>SUM(H60:H61)</f>
        <v>338.25</v>
      </c>
      <c r="J62" s="75"/>
      <c r="K62" s="78">
        <f>SUM(J60:J61)</f>
        <v>238.25</v>
      </c>
      <c r="L62" s="75"/>
      <c r="M62" s="78">
        <f>SUM(L60:L61)</f>
        <v>85509.299999999988</v>
      </c>
      <c r="N62" s="75"/>
      <c r="O62" s="78">
        <f>SUM(N60:N61)</f>
        <v>0</v>
      </c>
      <c r="P62" s="75"/>
      <c r="Q62" s="78">
        <f>SUM(P60:P61)</f>
        <v>0</v>
      </c>
      <c r="R62" s="75"/>
      <c r="S62" s="78">
        <f>SUM(R60:R61)</f>
        <v>0</v>
      </c>
      <c r="T62" s="75"/>
      <c r="U62" s="78">
        <f>SUM(T60:T61)</f>
        <v>0</v>
      </c>
      <c r="V62" s="75"/>
      <c r="W62" s="78">
        <f>SUM(V60:V61)</f>
        <v>0</v>
      </c>
      <c r="X62" s="75"/>
      <c r="Y62" s="78">
        <f>SUM(X60:X61)</f>
        <v>0</v>
      </c>
      <c r="Z62" s="76"/>
      <c r="AA62" s="78">
        <f>SUM(Z60:Z61)</f>
        <v>0</v>
      </c>
      <c r="AB62" s="75"/>
      <c r="AC62" s="78">
        <f>SUM(AB60:AB61)</f>
        <v>90737.299999999988</v>
      </c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</row>
    <row r="63" spans="1:40" x14ac:dyDescent="0.25">
      <c r="A63" s="46" t="s">
        <v>40</v>
      </c>
      <c r="B63" s="75"/>
      <c r="C63" s="73">
        <f>C58-C62</f>
        <v>-2111.5500000000002</v>
      </c>
      <c r="D63" s="75"/>
      <c r="E63" s="73">
        <f>E58-E62</f>
        <v>153250.79999999999</v>
      </c>
      <c r="F63" s="75"/>
      <c r="G63" s="73">
        <f>G58-G62</f>
        <v>-9120.75</v>
      </c>
      <c r="H63" s="75"/>
      <c r="I63" s="73">
        <f>I58-I62</f>
        <v>267396.75</v>
      </c>
      <c r="J63" s="75"/>
      <c r="K63" s="73">
        <f>K58-K62</f>
        <v>-5003.25</v>
      </c>
      <c r="L63" s="75"/>
      <c r="M63" s="73">
        <f>M58-M62</f>
        <v>22104.700000000012</v>
      </c>
      <c r="N63" s="75"/>
      <c r="O63" s="73">
        <f>O58-O62</f>
        <v>0</v>
      </c>
      <c r="P63" s="75"/>
      <c r="Q63" s="73">
        <f>Q58-Q62</f>
        <v>0</v>
      </c>
      <c r="R63" s="75"/>
      <c r="S63" s="73">
        <f>S58-S62</f>
        <v>0</v>
      </c>
      <c r="T63" s="75"/>
      <c r="U63" s="73">
        <f>U58-U62</f>
        <v>0</v>
      </c>
      <c r="V63" s="75"/>
      <c r="W63" s="73">
        <f>W58-W62</f>
        <v>0</v>
      </c>
      <c r="X63" s="75"/>
      <c r="Y63" s="73">
        <f>Y58-Y62</f>
        <v>0</v>
      </c>
      <c r="Z63" s="76"/>
      <c r="AA63" s="73">
        <f>AA58-AA62</f>
        <v>0</v>
      </c>
      <c r="AB63" s="75"/>
      <c r="AC63" s="73">
        <f>AC58-AC62</f>
        <v>426516.7</v>
      </c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</row>
    <row r="64" spans="1:40" x14ac:dyDescent="0.25">
      <c r="A64" s="46" t="s">
        <v>41</v>
      </c>
      <c r="B64" s="75"/>
      <c r="C64" s="78">
        <f>'Proyección del Costo Total'!C47</f>
        <v>0</v>
      </c>
      <c r="D64" s="75"/>
      <c r="E64" s="78">
        <f>'Proyección del Costo Total'!D47</f>
        <v>0</v>
      </c>
      <c r="F64" s="75"/>
      <c r="G64" s="78">
        <f>'Proyección del Costo Total'!E47</f>
        <v>1749.9875</v>
      </c>
      <c r="H64" s="75"/>
      <c r="I64" s="78">
        <f>'Proyección del Costo Total'!F47</f>
        <v>1749.9875</v>
      </c>
      <c r="J64" s="75"/>
      <c r="K64" s="78">
        <f>'Proyección del Costo Total'!G47</f>
        <v>1749.9875</v>
      </c>
      <c r="L64" s="75"/>
      <c r="M64" s="78">
        <f>'Proyección del Costo Total'!H47</f>
        <v>1749.9875</v>
      </c>
      <c r="N64" s="75"/>
      <c r="O64" s="78">
        <f>'Proyección del Costo Total'!I47</f>
        <v>1749.9875</v>
      </c>
      <c r="P64" s="75"/>
      <c r="Q64" s="78">
        <f>'Proyección del Costo Total'!J47</f>
        <v>1749.9875</v>
      </c>
      <c r="R64" s="75"/>
      <c r="S64" s="78">
        <f>'Proyección del Costo Total'!K47</f>
        <v>1749.9875</v>
      </c>
      <c r="T64" s="75"/>
      <c r="U64" s="78">
        <f>'Proyección del Costo Total'!L47</f>
        <v>1749.9875</v>
      </c>
      <c r="V64" s="75"/>
      <c r="W64" s="78">
        <f>'Proyección del Costo Total'!M47</f>
        <v>1749.9875</v>
      </c>
      <c r="X64" s="75"/>
      <c r="Y64" s="78">
        <f>'Proyección del Costo Total'!N47</f>
        <v>1749.9875</v>
      </c>
      <c r="Z64" s="76"/>
      <c r="AA64" s="78">
        <f>'Proyección del Costo Total'!O47</f>
        <v>500</v>
      </c>
      <c r="AB64" s="75"/>
      <c r="AC64" s="78">
        <f>C64+E64+G64+I64+K64+M64+O64+Q64+S64+U64+W64+Y64+AA64</f>
        <v>17999.874999999996</v>
      </c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</row>
    <row r="65" spans="1:40" ht="18.75" x14ac:dyDescent="0.3">
      <c r="A65" s="82" t="s">
        <v>31</v>
      </c>
      <c r="B65" s="79"/>
      <c r="C65" s="83">
        <f>C63-C64</f>
        <v>-2111.5500000000002</v>
      </c>
      <c r="D65" s="79"/>
      <c r="E65" s="83">
        <f>E63-E64</f>
        <v>153250.79999999999</v>
      </c>
      <c r="F65" s="79"/>
      <c r="G65" s="83">
        <f>G63-G64</f>
        <v>-10870.737499999999</v>
      </c>
      <c r="H65" s="79"/>
      <c r="I65" s="83">
        <f>I63-I64</f>
        <v>265646.76250000001</v>
      </c>
      <c r="J65" s="79"/>
      <c r="K65" s="83">
        <f>K63-K64</f>
        <v>-6753.2375000000002</v>
      </c>
      <c r="L65" s="79"/>
      <c r="M65" s="83">
        <f>M63-M64</f>
        <v>20354.712500000012</v>
      </c>
      <c r="N65" s="79"/>
      <c r="O65" s="83">
        <f>O63-O64</f>
        <v>-1749.9875</v>
      </c>
      <c r="P65" s="79"/>
      <c r="Q65" s="83">
        <f>Q63-Q64</f>
        <v>-1749.9875</v>
      </c>
      <c r="R65" s="79"/>
      <c r="S65" s="83">
        <f>S63-S64</f>
        <v>-1749.9875</v>
      </c>
      <c r="T65" s="79"/>
      <c r="U65" s="83">
        <f>U63-U64</f>
        <v>-1749.9875</v>
      </c>
      <c r="V65" s="79"/>
      <c r="W65" s="83">
        <f>W63-W64</f>
        <v>-1749.9875</v>
      </c>
      <c r="X65" s="79"/>
      <c r="Y65" s="83">
        <f>Y63-Y64</f>
        <v>-1749.9875</v>
      </c>
      <c r="Z65" s="79"/>
      <c r="AA65" s="83">
        <f>AA63-AA64</f>
        <v>-500</v>
      </c>
      <c r="AB65" s="79"/>
      <c r="AC65" s="83">
        <f>AC63-AC64</f>
        <v>408516.82500000001</v>
      </c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</row>
    <row r="66" spans="1:40" x14ac:dyDescent="0.25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</row>
    <row r="67" spans="1:40" x14ac:dyDescent="0.25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</row>
    <row r="68" spans="1:40" x14ac:dyDescent="0.25"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</row>
    <row r="69" spans="1:40" ht="21" x14ac:dyDescent="0.35">
      <c r="A69" s="101" t="s">
        <v>225</v>
      </c>
      <c r="B69" s="147" t="s">
        <v>207</v>
      </c>
      <c r="C69" s="147"/>
      <c r="D69" s="147" t="s">
        <v>52</v>
      </c>
      <c r="E69" s="147"/>
      <c r="F69" s="147" t="s">
        <v>53</v>
      </c>
      <c r="G69" s="147"/>
      <c r="H69" s="147" t="s">
        <v>54</v>
      </c>
      <c r="I69" s="147"/>
      <c r="J69" s="147" t="s">
        <v>55</v>
      </c>
      <c r="K69" s="147"/>
      <c r="L69" s="147" t="s">
        <v>56</v>
      </c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8"/>
      <c r="AC69" s="148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</row>
    <row r="70" spans="1:40" x14ac:dyDescent="0.25">
      <c r="A70" s="87" t="s">
        <v>68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</row>
    <row r="71" spans="1:40" x14ac:dyDescent="0.25">
      <c r="A71" s="14" t="s">
        <v>98</v>
      </c>
      <c r="B71" s="64"/>
      <c r="C71" s="64">
        <f>B116</f>
        <v>50000</v>
      </c>
      <c r="E71" s="64">
        <f>C116</f>
        <v>0</v>
      </c>
      <c r="G71" s="64">
        <f>D116</f>
        <v>0</v>
      </c>
      <c r="I71" s="64">
        <f>E116</f>
        <v>0</v>
      </c>
      <c r="K71" s="64">
        <f>F116</f>
        <v>0</v>
      </c>
      <c r="M71" s="64">
        <f>G116</f>
        <v>0</v>
      </c>
      <c r="O71" s="64">
        <f>H116</f>
        <v>0</v>
      </c>
      <c r="Q71" s="64">
        <f>I116</f>
        <v>0</v>
      </c>
      <c r="S71" s="64">
        <f>J116</f>
        <v>0</v>
      </c>
      <c r="U71" s="64">
        <f>K116</f>
        <v>0</v>
      </c>
      <c r="W71" s="64">
        <f>L116</f>
        <v>0</v>
      </c>
      <c r="Y71" s="64">
        <f>M116</f>
        <v>0</v>
      </c>
      <c r="AA71" s="64">
        <f>N116</f>
        <v>0</v>
      </c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</row>
    <row r="72" spans="1:40" x14ac:dyDescent="0.25">
      <c r="A72" s="85" t="s">
        <v>90</v>
      </c>
      <c r="B72" s="64"/>
      <c r="C72" s="80">
        <f>B19</f>
        <v>0</v>
      </c>
      <c r="D72" s="64"/>
      <c r="E72" s="80">
        <f>C19</f>
        <v>0</v>
      </c>
      <c r="F72" s="64"/>
      <c r="G72" s="80">
        <f>D19</f>
        <v>191052</v>
      </c>
      <c r="H72" s="64"/>
      <c r="I72" s="80">
        <f>E19</f>
        <v>0</v>
      </c>
      <c r="J72" s="64"/>
      <c r="K72" s="80">
        <f>F19</f>
        <v>318420</v>
      </c>
      <c r="L72" s="64"/>
      <c r="M72" s="80">
        <f>G19</f>
        <v>0</v>
      </c>
      <c r="N72" s="64"/>
      <c r="O72" s="80">
        <f>H19</f>
        <v>127368</v>
      </c>
      <c r="P72" s="64"/>
      <c r="Q72" s="80">
        <f>I19</f>
        <v>0</v>
      </c>
      <c r="R72" s="64"/>
      <c r="S72" s="80">
        <f>J19</f>
        <v>0</v>
      </c>
      <c r="T72" s="64"/>
      <c r="U72" s="80">
        <f>K19</f>
        <v>0</v>
      </c>
      <c r="V72" s="64"/>
      <c r="W72" s="80">
        <f>L19</f>
        <v>0</v>
      </c>
      <c r="X72" s="64"/>
      <c r="Y72" s="80">
        <f>M19</f>
        <v>0</v>
      </c>
      <c r="Z72" s="64"/>
      <c r="AA72" s="80">
        <f>N19</f>
        <v>0</v>
      </c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</row>
    <row r="73" spans="1:40" x14ac:dyDescent="0.25">
      <c r="A73" s="87" t="s">
        <v>70</v>
      </c>
      <c r="B73" s="64"/>
      <c r="C73" s="81">
        <f>SUM(C71:C72)</f>
        <v>50000</v>
      </c>
      <c r="D73" s="64"/>
      <c r="E73" s="81">
        <f>SUM(E71:E72)</f>
        <v>0</v>
      </c>
      <c r="F73" s="64"/>
      <c r="G73" s="81">
        <f>SUM(G71:G72)</f>
        <v>191052</v>
      </c>
      <c r="H73" s="64"/>
      <c r="I73" s="81">
        <f>SUM(I71:I72)</f>
        <v>0</v>
      </c>
      <c r="J73" s="64"/>
      <c r="K73" s="81">
        <f>SUM(K71:K72)</f>
        <v>318420</v>
      </c>
      <c r="L73" s="64"/>
      <c r="M73" s="81">
        <f>SUM(M71:M72)</f>
        <v>0</v>
      </c>
      <c r="N73" s="64"/>
      <c r="O73" s="81">
        <f>SUM(O71:O72)</f>
        <v>127368</v>
      </c>
      <c r="P73" s="64"/>
      <c r="Q73" s="81">
        <f>SUM(Q71:Q72)</f>
        <v>0</v>
      </c>
      <c r="R73" s="64"/>
      <c r="S73" s="81">
        <f>SUM(S71:S72)</f>
        <v>0</v>
      </c>
      <c r="T73" s="64"/>
      <c r="U73" s="81">
        <f>SUM(U71:U72)</f>
        <v>0</v>
      </c>
      <c r="V73" s="64"/>
      <c r="W73" s="81">
        <f>SUM(W71:W72)</f>
        <v>0</v>
      </c>
      <c r="X73" s="64"/>
      <c r="Y73" s="81">
        <f>SUM(Y71:Y72)</f>
        <v>0</v>
      </c>
      <c r="Z73" s="64"/>
      <c r="AA73" s="81">
        <f>SUM(AA71:AA72)</f>
        <v>0</v>
      </c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</row>
    <row r="74" spans="1:40" x14ac:dyDescent="0.25">
      <c r="A74" s="8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</row>
    <row r="75" spans="1:40" x14ac:dyDescent="0.25">
      <c r="A75" s="87" t="s">
        <v>71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</row>
    <row r="76" spans="1:40" x14ac:dyDescent="0.25">
      <c r="A76" s="86" t="s">
        <v>75</v>
      </c>
      <c r="B76" s="64"/>
      <c r="C76" s="64">
        <f>'Proyección del Costo Total'!C7</f>
        <v>0</v>
      </c>
      <c r="D76" s="64"/>
      <c r="E76" s="64">
        <f>'Proyección del Costo Total'!D7</f>
        <v>0</v>
      </c>
      <c r="F76" s="64"/>
      <c r="G76" s="64">
        <f>'Proyección del Costo Total'!E7</f>
        <v>75000</v>
      </c>
      <c r="H76" s="64"/>
      <c r="I76" s="64">
        <f>'Proyección del Costo Total'!F7</f>
        <v>0</v>
      </c>
      <c r="J76" s="64"/>
      <c r="K76" s="64">
        <f>'Proyección del Costo Total'!G7</f>
        <v>0</v>
      </c>
      <c r="L76" s="64"/>
      <c r="M76" s="64">
        <f>'Proyección del Costo Total'!H7</f>
        <v>0</v>
      </c>
      <c r="N76" s="64"/>
      <c r="O76" s="64">
        <f>'Proyección del Costo Total'!I7</f>
        <v>0</v>
      </c>
      <c r="P76" s="64"/>
      <c r="Q76" s="64">
        <f>'Proyección del Costo Total'!J7</f>
        <v>0</v>
      </c>
      <c r="R76" s="64"/>
      <c r="S76" s="64">
        <f>'Proyección del Costo Total'!K7</f>
        <v>0</v>
      </c>
      <c r="T76" s="64"/>
      <c r="U76" s="64">
        <f>'Proyección del Costo Total'!L7</f>
        <v>0</v>
      </c>
      <c r="V76" s="64"/>
      <c r="W76" s="64">
        <f>'Proyección del Costo Total'!M7</f>
        <v>0</v>
      </c>
      <c r="X76" s="64"/>
      <c r="Y76" s="64">
        <f>'Proyección del Costo Total'!N7</f>
        <v>0</v>
      </c>
      <c r="Z76" s="64"/>
      <c r="AA76" s="64">
        <f>'Proyección del Costo Total'!O7</f>
        <v>0</v>
      </c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</row>
    <row r="77" spans="1:40" x14ac:dyDescent="0.25">
      <c r="A77" s="86" t="s">
        <v>99</v>
      </c>
      <c r="B77" s="64"/>
      <c r="C77" s="64">
        <f>B117</f>
        <v>0</v>
      </c>
      <c r="E77" s="64">
        <f>C117</f>
        <v>0</v>
      </c>
      <c r="G77" s="64">
        <f>D117</f>
        <v>0</v>
      </c>
      <c r="I77" s="64">
        <f>E117</f>
        <v>0</v>
      </c>
      <c r="K77" s="64">
        <f>F117</f>
        <v>0</v>
      </c>
      <c r="M77" s="64">
        <f>G117</f>
        <v>50000</v>
      </c>
      <c r="O77" s="64">
        <f>H117</f>
        <v>0</v>
      </c>
      <c r="Q77" s="64">
        <f>I117</f>
        <v>0</v>
      </c>
      <c r="S77" s="64">
        <f>J117</f>
        <v>0</v>
      </c>
      <c r="U77" s="64">
        <f>K117</f>
        <v>0</v>
      </c>
      <c r="W77" s="64">
        <f>L117</f>
        <v>0</v>
      </c>
      <c r="Y77" s="64">
        <f>M117</f>
        <v>0</v>
      </c>
      <c r="AA77" s="64">
        <f>N117</f>
        <v>0</v>
      </c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</row>
    <row r="78" spans="1:40" x14ac:dyDescent="0.25">
      <c r="A78" s="86" t="s">
        <v>101</v>
      </c>
      <c r="B78" s="64"/>
      <c r="C78" s="64">
        <f>B123</f>
        <v>0</v>
      </c>
      <c r="E78" s="64">
        <f>C123</f>
        <v>0</v>
      </c>
      <c r="G78" s="64">
        <f>D123</f>
        <v>26352</v>
      </c>
      <c r="I78" s="64">
        <f>E123</f>
        <v>0</v>
      </c>
      <c r="K78" s="64">
        <f>F123</f>
        <v>43920</v>
      </c>
      <c r="M78" s="64">
        <f>G123</f>
        <v>0</v>
      </c>
      <c r="O78" s="64">
        <f>H123</f>
        <v>17568</v>
      </c>
      <c r="Q78" s="64">
        <f>I123</f>
        <v>0</v>
      </c>
      <c r="S78" s="64">
        <f>J123</f>
        <v>0</v>
      </c>
      <c r="U78" s="64">
        <f>K123</f>
        <v>0</v>
      </c>
      <c r="W78" s="64">
        <f>L123</f>
        <v>0</v>
      </c>
      <c r="Y78" s="64">
        <f>M123</f>
        <v>0</v>
      </c>
      <c r="AA78" s="64">
        <f>N123</f>
        <v>0</v>
      </c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</row>
    <row r="79" spans="1:40" x14ac:dyDescent="0.25">
      <c r="A79" s="86" t="s">
        <v>35</v>
      </c>
      <c r="B79" s="64"/>
      <c r="C79" s="64">
        <f>C57</f>
        <v>2011</v>
      </c>
      <c r="D79" s="64"/>
      <c r="E79" s="64">
        <f>E57</f>
        <v>10904</v>
      </c>
      <c r="F79" s="64"/>
      <c r="G79" s="64">
        <f>G57</f>
        <v>5115</v>
      </c>
      <c r="H79" s="64"/>
      <c r="I79" s="64">
        <f>I57</f>
        <v>6765</v>
      </c>
      <c r="J79" s="64"/>
      <c r="K79" s="64">
        <f>K57</f>
        <v>4765</v>
      </c>
      <c r="L79" s="64"/>
      <c r="M79" s="64">
        <f>M57</f>
        <v>2186</v>
      </c>
      <c r="N79" s="64"/>
      <c r="O79" s="64">
        <f>O57</f>
        <v>0</v>
      </c>
      <c r="P79" s="64"/>
      <c r="Q79" s="64">
        <f>Q57</f>
        <v>0</v>
      </c>
      <c r="R79" s="64"/>
      <c r="S79" s="64">
        <f>S57</f>
        <v>0</v>
      </c>
      <c r="T79" s="64"/>
      <c r="U79" s="64">
        <f>U57</f>
        <v>0</v>
      </c>
      <c r="V79" s="64"/>
      <c r="W79" s="64">
        <f>W57</f>
        <v>0</v>
      </c>
      <c r="X79" s="64"/>
      <c r="Y79" s="64">
        <f>Y57</f>
        <v>0</v>
      </c>
      <c r="Z79" s="64"/>
      <c r="AA79" s="64">
        <f>AA57</f>
        <v>0</v>
      </c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</row>
    <row r="80" spans="1:40" x14ac:dyDescent="0.25">
      <c r="A80" s="86" t="s">
        <v>38</v>
      </c>
      <c r="B80" s="64"/>
      <c r="C80" s="80">
        <f>C62</f>
        <v>100.55000000000001</v>
      </c>
      <c r="D80" s="64"/>
      <c r="E80" s="80">
        <f>E62</f>
        <v>545.20000000000005</v>
      </c>
      <c r="F80" s="64"/>
      <c r="G80" s="80">
        <f>G62</f>
        <v>4005.75</v>
      </c>
      <c r="H80" s="64"/>
      <c r="I80" s="80">
        <f>I62</f>
        <v>338.25</v>
      </c>
      <c r="J80" s="64"/>
      <c r="K80" s="80">
        <f>K62</f>
        <v>238.25</v>
      </c>
      <c r="L80" s="64"/>
      <c r="M80" s="80">
        <f>M62</f>
        <v>85509.299999999988</v>
      </c>
      <c r="N80" s="64"/>
      <c r="O80" s="80">
        <f>O62</f>
        <v>0</v>
      </c>
      <c r="P80" s="64"/>
      <c r="Q80" s="80">
        <f>Q62</f>
        <v>0</v>
      </c>
      <c r="R80" s="64"/>
      <c r="S80" s="80">
        <f>S62</f>
        <v>0</v>
      </c>
      <c r="T80" s="64"/>
      <c r="U80" s="80">
        <f>U62</f>
        <v>0</v>
      </c>
      <c r="V80" s="64"/>
      <c r="W80" s="80">
        <f>W62</f>
        <v>0</v>
      </c>
      <c r="X80" s="64"/>
      <c r="Y80" s="80">
        <f>Y62</f>
        <v>0</v>
      </c>
      <c r="Z80" s="64"/>
      <c r="AA80" s="80">
        <f>AA62</f>
        <v>0</v>
      </c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</row>
    <row r="81" spans="1:40" x14ac:dyDescent="0.25">
      <c r="A81" s="87" t="s">
        <v>72</v>
      </c>
      <c r="B81" s="64"/>
      <c r="C81" s="81">
        <f>SUM(C76:C80)</f>
        <v>2111.5500000000002</v>
      </c>
      <c r="D81" s="64"/>
      <c r="E81" s="81">
        <f t="shared" ref="E81" si="43">SUM(E76:E80)</f>
        <v>11449.2</v>
      </c>
      <c r="F81" s="64"/>
      <c r="G81" s="81">
        <f>SUM(G76:G80)</f>
        <v>110472.75</v>
      </c>
      <c r="H81" s="64"/>
      <c r="I81" s="81">
        <f>SUM(I76:I80)</f>
        <v>7103.25</v>
      </c>
      <c r="J81" s="64"/>
      <c r="K81" s="81">
        <f>SUM(K76:K80)</f>
        <v>48923.25</v>
      </c>
      <c r="L81" s="64"/>
      <c r="M81" s="81">
        <f>SUM(M76:M80)</f>
        <v>137695.29999999999</v>
      </c>
      <c r="N81" s="64"/>
      <c r="O81" s="81">
        <f>SUM(O76:O80)</f>
        <v>17568</v>
      </c>
      <c r="P81" s="64"/>
      <c r="Q81" s="81">
        <f>SUM(Q76:Q80)</f>
        <v>0</v>
      </c>
      <c r="R81" s="64"/>
      <c r="S81" s="81">
        <f>SUM(S76:S80)</f>
        <v>0</v>
      </c>
      <c r="T81" s="64"/>
      <c r="U81" s="81">
        <f>SUM(U76:U80)</f>
        <v>0</v>
      </c>
      <c r="V81" s="64"/>
      <c r="W81" s="81">
        <f>SUM(W76:W80)</f>
        <v>0</v>
      </c>
      <c r="X81" s="64"/>
      <c r="Y81" s="81">
        <f>SUM(Y76:Y80)</f>
        <v>0</v>
      </c>
      <c r="Z81" s="64"/>
      <c r="AA81" s="81">
        <f>SUM(AA76:AA80)</f>
        <v>0</v>
      </c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</row>
    <row r="82" spans="1:40" x14ac:dyDescent="0.25">
      <c r="A82" s="8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</row>
    <row r="83" spans="1:40" x14ac:dyDescent="0.25">
      <c r="A83" s="87" t="s">
        <v>67</v>
      </c>
      <c r="B83" s="81"/>
      <c r="C83" s="81">
        <v>0</v>
      </c>
      <c r="D83" s="81"/>
      <c r="E83" s="81">
        <f>C84</f>
        <v>47888.45</v>
      </c>
      <c r="F83" s="81"/>
      <c r="G83" s="81">
        <f>E84</f>
        <v>36439.25</v>
      </c>
      <c r="H83" s="81"/>
      <c r="I83" s="81">
        <f>G84</f>
        <v>117018.5</v>
      </c>
      <c r="J83" s="81"/>
      <c r="K83" s="81">
        <f>I84</f>
        <v>109915.25</v>
      </c>
      <c r="L83" s="81"/>
      <c r="M83" s="81">
        <f>K84</f>
        <v>379412</v>
      </c>
      <c r="N83" s="81"/>
      <c r="O83" s="81">
        <f>M84</f>
        <v>241716.7</v>
      </c>
      <c r="P83" s="81"/>
      <c r="Q83" s="81">
        <f>O84</f>
        <v>351516.7</v>
      </c>
      <c r="R83" s="81"/>
      <c r="S83" s="81">
        <f>Q84</f>
        <v>351516.7</v>
      </c>
      <c r="T83" s="81"/>
      <c r="U83" s="81">
        <f>S84</f>
        <v>351516.7</v>
      </c>
      <c r="V83" s="81"/>
      <c r="W83" s="81">
        <f>U84</f>
        <v>351516.7</v>
      </c>
      <c r="X83" s="81"/>
      <c r="Y83" s="81">
        <f>W84</f>
        <v>351516.7</v>
      </c>
      <c r="Z83" s="81"/>
      <c r="AA83" s="81">
        <f>Y84</f>
        <v>351516.7</v>
      </c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</row>
    <row r="84" spans="1:40" x14ac:dyDescent="0.25">
      <c r="A84" s="87" t="s">
        <v>74</v>
      </c>
      <c r="B84" s="81"/>
      <c r="C84" s="81">
        <f>C83+C73-C81</f>
        <v>47888.45</v>
      </c>
      <c r="D84" s="81"/>
      <c r="E84" s="81">
        <f>E83+E73-E81</f>
        <v>36439.25</v>
      </c>
      <c r="F84" s="81"/>
      <c r="G84" s="81">
        <f>G83+G73-G81</f>
        <v>117018.5</v>
      </c>
      <c r="H84" s="81"/>
      <c r="I84" s="81">
        <f>I83+I73-I81</f>
        <v>109915.25</v>
      </c>
      <c r="J84" s="81"/>
      <c r="K84" s="81">
        <f>K83+K73-K81</f>
        <v>379412</v>
      </c>
      <c r="L84" s="81"/>
      <c r="M84" s="81">
        <f>M83+M73-M81</f>
        <v>241716.7</v>
      </c>
      <c r="N84" s="81"/>
      <c r="O84" s="81">
        <f>O83+O73-O81</f>
        <v>351516.7</v>
      </c>
      <c r="P84" s="81"/>
      <c r="Q84" s="81">
        <f>Q83+Q73-Q81</f>
        <v>351516.7</v>
      </c>
      <c r="R84" s="81"/>
      <c r="S84" s="81">
        <f>S83+S73-S81</f>
        <v>351516.7</v>
      </c>
      <c r="T84" s="81"/>
      <c r="U84" s="81">
        <f>U83+U73-U81</f>
        <v>351516.7</v>
      </c>
      <c r="V84" s="81"/>
      <c r="W84" s="81">
        <f>W83+W73-W81</f>
        <v>351516.7</v>
      </c>
      <c r="X84" s="81"/>
      <c r="Y84" s="81">
        <f>Y83+Y73-Y81</f>
        <v>351516.7</v>
      </c>
      <c r="Z84" s="81"/>
      <c r="AA84" s="81">
        <f>AA83+AA73-AA81</f>
        <v>351516.7</v>
      </c>
      <c r="AB84" s="64"/>
      <c r="AC84" s="64"/>
      <c r="AD84" s="64"/>
    </row>
    <row r="85" spans="1:40" x14ac:dyDescent="0.25">
      <c r="A85" s="123" t="s">
        <v>102</v>
      </c>
      <c r="B85" s="125">
        <f>-$B$8</f>
        <v>-50000</v>
      </c>
      <c r="C85" s="124">
        <f>C84-C83</f>
        <v>47888.45</v>
      </c>
      <c r="D85" s="81"/>
      <c r="E85" s="124">
        <f>E84-E83</f>
        <v>-11449.199999999997</v>
      </c>
      <c r="F85" s="81"/>
      <c r="G85" s="124">
        <f>G84-G83</f>
        <v>80579.25</v>
      </c>
      <c r="H85" s="81"/>
      <c r="I85" s="124">
        <f>I84-I83</f>
        <v>-7103.25</v>
      </c>
      <c r="J85" s="81"/>
      <c r="K85" s="124">
        <f>K84-K83</f>
        <v>269496.75</v>
      </c>
      <c r="L85" s="81"/>
      <c r="M85" s="124">
        <f>M84-M83</f>
        <v>-137695.29999999999</v>
      </c>
      <c r="N85" s="81"/>
      <c r="O85" s="124">
        <f>O84-O83</f>
        <v>109800</v>
      </c>
      <c r="P85" s="81"/>
      <c r="Q85" s="124">
        <f>Q84-Q83</f>
        <v>0</v>
      </c>
      <c r="R85" s="81"/>
      <c r="S85" s="124">
        <f>S84-S83</f>
        <v>0</v>
      </c>
      <c r="T85" s="81"/>
      <c r="U85" s="124">
        <f>U84-U83</f>
        <v>0</v>
      </c>
      <c r="V85" s="81"/>
      <c r="W85" s="124">
        <f>W84-W83</f>
        <v>0</v>
      </c>
      <c r="X85" s="81"/>
      <c r="Y85" s="124">
        <f>Y84-Y83</f>
        <v>0</v>
      </c>
      <c r="Z85" s="81"/>
      <c r="AA85" s="124">
        <f>AA84-AA83</f>
        <v>0</v>
      </c>
      <c r="AB85" s="64"/>
      <c r="AC85" s="64"/>
      <c r="AD85" s="64"/>
    </row>
    <row r="86" spans="1:40" x14ac:dyDescent="0.25">
      <c r="A86" s="87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40" x14ac:dyDescent="0.25">
      <c r="A87" s="149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40" ht="21" x14ac:dyDescent="0.35">
      <c r="A88" s="101" t="s">
        <v>109</v>
      </c>
      <c r="B88" s="147" t="s">
        <v>207</v>
      </c>
      <c r="C88" s="147"/>
      <c r="D88" s="147" t="s">
        <v>52</v>
      </c>
      <c r="E88" s="147"/>
      <c r="F88" s="147" t="s">
        <v>53</v>
      </c>
      <c r="G88" s="147"/>
      <c r="H88" s="147" t="s">
        <v>54</v>
      </c>
      <c r="I88" s="147"/>
      <c r="J88" s="147" t="s">
        <v>55</v>
      </c>
      <c r="K88" s="147"/>
      <c r="L88" s="147" t="s">
        <v>56</v>
      </c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64"/>
      <c r="AC88" s="64"/>
      <c r="AD88" s="64"/>
    </row>
    <row r="89" spans="1:40" x14ac:dyDescent="0.25">
      <c r="A89" s="100" t="s">
        <v>107</v>
      </c>
      <c r="B89" s="35">
        <v>1</v>
      </c>
      <c r="C89" s="35">
        <f>B89*(1+$B$3)</f>
        <v>1.0032737397821989</v>
      </c>
      <c r="D89" s="35"/>
      <c r="E89" s="35">
        <f>C89*(1+$B$3)</f>
        <v>1.0065581969365593</v>
      </c>
      <c r="F89" s="35"/>
      <c r="G89" s="35">
        <f>E89*(1+$B$3)</f>
        <v>1.009853406548969</v>
      </c>
      <c r="H89" s="35"/>
      <c r="I89" s="35">
        <f>G89*(1+$B$3)</f>
        <v>1.0131594038201774</v>
      </c>
      <c r="J89" s="35"/>
      <c r="K89" s="35">
        <f>I89*(1+$B$3)</f>
        <v>1.0164762240661724</v>
      </c>
      <c r="L89" s="35"/>
      <c r="M89" s="35">
        <f>K89*(1+$B$3)</f>
        <v>1.0198039027185573</v>
      </c>
      <c r="N89" s="35"/>
      <c r="O89" s="35">
        <f>M89*(1+$B$3)</f>
        <v>1.0231424753249287</v>
      </c>
      <c r="P89" s="35"/>
      <c r="Q89" s="35">
        <f>O89*(1+$B$3)</f>
        <v>1.0264919775492574</v>
      </c>
      <c r="R89" s="35"/>
      <c r="S89" s="35">
        <f>Q89*(1+$B$3)</f>
        <v>1.0298524451722684</v>
      </c>
      <c r="T89" s="35"/>
      <c r="U89" s="35">
        <f>S89*(1+$B$3)</f>
        <v>1.0332239140918236</v>
      </c>
      <c r="V89" s="35"/>
      <c r="W89" s="35">
        <f>U89*(1+$B$3)</f>
        <v>1.0366064203233052</v>
      </c>
      <c r="X89" s="35"/>
      <c r="Y89" s="35">
        <f>W89*(1+$B$3)</f>
        <v>1.0400000000000005</v>
      </c>
      <c r="Z89" s="35"/>
      <c r="AA89" s="35">
        <f>Y89*(1+$B$3)</f>
        <v>1.0434046893734874</v>
      </c>
      <c r="AB89" s="64"/>
      <c r="AC89" s="64"/>
      <c r="AD89" s="64"/>
    </row>
    <row r="90" spans="1:40" ht="15.75" thickBot="1" x14ac:dyDescent="0.3">
      <c r="A90" s="100" t="s">
        <v>108</v>
      </c>
      <c r="B90" s="64">
        <f>IF(B89=0,0,B85/B89)</f>
        <v>-50000</v>
      </c>
      <c r="C90" s="64">
        <f>IF(C89=0,0,C85/C89)</f>
        <v>47732.187239741885</v>
      </c>
      <c r="D90" s="64"/>
      <c r="E90" s="64">
        <f>IF(E89=0,0,E85/E89)</f>
        <v>-11374.603112711633</v>
      </c>
      <c r="F90" s="64"/>
      <c r="G90" s="64">
        <f>IF(G89=0,0,G85/G89)</f>
        <v>79793.01696408409</v>
      </c>
      <c r="H90" s="64"/>
      <c r="I90" s="64">
        <f>IF(I89=0,0,I85/I89)</f>
        <v>-7010.9895572372679</v>
      </c>
      <c r="J90" s="64"/>
      <c r="K90" s="64">
        <f>IF(K89=0,0,K85/K89)</f>
        <v>265128.43450675323</v>
      </c>
      <c r="L90" s="64"/>
      <c r="M90" s="64">
        <f>IF(M89=0,0,M85/M89)</f>
        <v>-135021.35031346392</v>
      </c>
      <c r="N90" s="64"/>
      <c r="O90" s="64">
        <f>IF(O89=0,0,O85/O89)</f>
        <v>107316.43211775545</v>
      </c>
      <c r="P90" s="64"/>
      <c r="Q90" s="64">
        <f>IF(Q89=0,0,Q85/Q89)</f>
        <v>0</v>
      </c>
      <c r="R90" s="64"/>
      <c r="S90" s="64">
        <f>IF(S89=0,0,S85/S89)</f>
        <v>0</v>
      </c>
      <c r="T90" s="64"/>
      <c r="U90" s="64">
        <f>IF(U89=0,0,U85/U89)</f>
        <v>0</v>
      </c>
      <c r="V90" s="64"/>
      <c r="W90" s="64">
        <f>IF(W89=0,0,W85/W89)</f>
        <v>0</v>
      </c>
      <c r="X90" s="64"/>
      <c r="Y90" s="64">
        <f>IF(Y89=0,0,Y85/Y89)</f>
        <v>0</v>
      </c>
      <c r="Z90" s="64"/>
      <c r="AA90" s="64">
        <f>IF(AA89=0,0,AA85/AA89)</f>
        <v>0</v>
      </c>
      <c r="AB90" s="64"/>
      <c r="AC90" s="64"/>
      <c r="AD90" s="64"/>
    </row>
    <row r="91" spans="1:40" ht="15.75" x14ac:dyDescent="0.25">
      <c r="A91" s="109" t="s">
        <v>104</v>
      </c>
      <c r="B91" s="113">
        <f>SUM(B90:AA90)</f>
        <v>296563.12784492184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40" ht="16.5" thickBot="1" x14ac:dyDescent="0.3">
      <c r="A92" s="110" t="s">
        <v>105</v>
      </c>
      <c r="B92" s="114">
        <f>IRR(B85:AA85)</f>
        <v>0.77370310972153167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40" x14ac:dyDescent="0.25">
      <c r="A93" s="35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40" x14ac:dyDescent="0.25">
      <c r="A94" s="35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40" ht="21" x14ac:dyDescent="0.35">
      <c r="A95" s="101" t="s">
        <v>110</v>
      </c>
      <c r="B95" s="147" t="s">
        <v>207</v>
      </c>
      <c r="C95" s="147"/>
      <c r="D95" s="147" t="s">
        <v>52</v>
      </c>
      <c r="E95" s="147"/>
      <c r="F95" s="147" t="s">
        <v>53</v>
      </c>
      <c r="G95" s="147"/>
      <c r="H95" s="147" t="s">
        <v>54</v>
      </c>
      <c r="I95" s="147"/>
      <c r="J95" s="147" t="s">
        <v>55</v>
      </c>
      <c r="K95" s="147"/>
      <c r="L95" s="147" t="s">
        <v>56</v>
      </c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 t="s">
        <v>62</v>
      </c>
      <c r="AC95" s="147"/>
      <c r="AD95" s="64"/>
    </row>
    <row r="96" spans="1:40" x14ac:dyDescent="0.25">
      <c r="A96" t="s">
        <v>116</v>
      </c>
      <c r="B96" s="33"/>
      <c r="C96" s="33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x14ac:dyDescent="0.25">
      <c r="A97" s="14" t="s">
        <v>117</v>
      </c>
      <c r="B97" s="33"/>
      <c r="C97" s="33">
        <f>IF(C41=0,0,C30/C41)</f>
        <v>0.95776899999999998</v>
      </c>
      <c r="D97" s="64"/>
      <c r="E97" s="33">
        <f>IF(E41=0,0,E30/E41)</f>
        <v>2.9795061033109809</v>
      </c>
      <c r="F97" s="64"/>
      <c r="G97" s="33">
        <f>IF(G41=0,0,G30/G41)</f>
        <v>2.3403700000000001</v>
      </c>
      <c r="H97" s="64"/>
      <c r="I97" s="33">
        <f>IF(I41=0,0,I30/I41)</f>
        <v>4.5606393739352642</v>
      </c>
      <c r="J97" s="64"/>
      <c r="K97" s="33">
        <f>IF(K41=0,0,K30/K41)</f>
        <v>7.5882399999999999</v>
      </c>
      <c r="L97" s="64"/>
      <c r="M97" s="33">
        <f>IF(M41=0,0,M30/M41)</f>
        <v>21.008919626593809</v>
      </c>
      <c r="N97" s="64"/>
      <c r="O97" s="33">
        <f>IF(O41=0,0,O30/O41)</f>
        <v>0</v>
      </c>
      <c r="P97" s="64"/>
      <c r="Q97" s="33">
        <f>IF(Q41=0,0,Q30/Q41)</f>
        <v>0</v>
      </c>
      <c r="R97" s="64"/>
      <c r="S97" s="33">
        <f>IF(S41=0,0,S30/S41)</f>
        <v>0</v>
      </c>
      <c r="T97" s="64"/>
      <c r="U97" s="33">
        <f>IF(U41=0,0,U30/U41)</f>
        <v>0</v>
      </c>
      <c r="V97" s="64"/>
      <c r="W97" s="33">
        <f>IF(W41=0,0,W30/W41)</f>
        <v>0</v>
      </c>
      <c r="X97" s="64"/>
      <c r="Y97" s="33">
        <f>IF(Y41=0,0,Y30/Y41)</f>
        <v>0</v>
      </c>
      <c r="Z97" s="64"/>
      <c r="AA97" s="33">
        <f>IF(AA41=0,0,AA30/AA41)</f>
        <v>0</v>
      </c>
      <c r="AB97" s="64"/>
      <c r="AC97" s="33"/>
      <c r="AD97" s="64"/>
    </row>
    <row r="98" spans="1:30" x14ac:dyDescent="0.25">
      <c r="A98" s="14" t="s">
        <v>122</v>
      </c>
      <c r="B98" s="64"/>
      <c r="C98" s="64">
        <f>C30-C41</f>
        <v>-2111.5500000000029</v>
      </c>
      <c r="D98" s="64"/>
      <c r="E98" s="64">
        <f>E30-E41</f>
        <v>151139.25</v>
      </c>
      <c r="F98" s="64"/>
      <c r="G98" s="64">
        <f>G30-G41</f>
        <v>67018.5</v>
      </c>
      <c r="H98" s="64"/>
      <c r="I98" s="64">
        <f>I30-I41</f>
        <v>334415.25</v>
      </c>
      <c r="J98" s="64"/>
      <c r="K98" s="64">
        <f>K30-K41</f>
        <v>329412</v>
      </c>
      <c r="L98" s="64"/>
      <c r="M98" s="64">
        <f>M30-M41</f>
        <v>351516.7</v>
      </c>
      <c r="N98" s="64"/>
      <c r="O98" s="64">
        <f>O30-O41</f>
        <v>351516.7</v>
      </c>
      <c r="P98" s="64"/>
      <c r="Q98" s="64">
        <f>Q30-Q41</f>
        <v>351516.7</v>
      </c>
      <c r="R98" s="64"/>
      <c r="S98" s="64">
        <f>S30-S41</f>
        <v>351516.7</v>
      </c>
      <c r="T98" s="64"/>
      <c r="U98" s="64">
        <f>U30-U41</f>
        <v>351516.7</v>
      </c>
      <c r="V98" s="64"/>
      <c r="W98" s="64">
        <f>W30-W41</f>
        <v>351516.7</v>
      </c>
      <c r="X98" s="64"/>
      <c r="Y98" s="64">
        <f>Y30-Y41</f>
        <v>351516.7</v>
      </c>
      <c r="Z98" s="64"/>
      <c r="AA98" s="64">
        <f>AA30-AA41</f>
        <v>351516.7</v>
      </c>
      <c r="AB98" s="64"/>
      <c r="AC98" s="64"/>
      <c r="AD98" s="64"/>
    </row>
    <row r="99" spans="1:30" x14ac:dyDescent="0.25">
      <c r="A99" s="14"/>
      <c r="B99" s="33"/>
      <c r="C99" s="33"/>
      <c r="D99" s="64"/>
      <c r="E99" s="33"/>
      <c r="F99" s="64"/>
      <c r="G99" s="33"/>
      <c r="H99" s="64"/>
      <c r="I99" s="33"/>
      <c r="J99" s="64"/>
      <c r="K99" s="33"/>
      <c r="L99" s="64"/>
      <c r="M99" s="33"/>
      <c r="N99" s="64"/>
      <c r="O99" s="33"/>
      <c r="P99" s="64"/>
      <c r="Q99" s="33"/>
      <c r="R99" s="64"/>
      <c r="S99" s="33"/>
      <c r="T99" s="64"/>
      <c r="U99" s="33"/>
      <c r="V99" s="64"/>
      <c r="W99" s="33"/>
      <c r="X99" s="64"/>
      <c r="Y99" s="33"/>
      <c r="Z99" s="64"/>
      <c r="AA99" s="33"/>
      <c r="AB99" s="64"/>
      <c r="AC99" s="33"/>
      <c r="AD99" s="64"/>
    </row>
    <row r="100" spans="1:30" x14ac:dyDescent="0.25">
      <c r="A100" t="s">
        <v>124</v>
      </c>
      <c r="B100" s="33"/>
      <c r="C100" s="33"/>
      <c r="D100" s="64"/>
      <c r="E100" s="33"/>
      <c r="F100" s="64"/>
      <c r="G100" s="33"/>
      <c r="H100" s="64"/>
      <c r="I100" s="33"/>
      <c r="J100" s="64"/>
      <c r="K100" s="33"/>
      <c r="L100" s="64"/>
      <c r="M100" s="33"/>
      <c r="N100" s="64"/>
      <c r="O100" s="33"/>
      <c r="P100" s="64"/>
      <c r="Q100" s="33"/>
      <c r="R100" s="64"/>
      <c r="S100" s="33"/>
      <c r="T100" s="64"/>
      <c r="U100" s="33"/>
      <c r="V100" s="64"/>
      <c r="W100" s="33"/>
      <c r="X100" s="64"/>
      <c r="Y100" s="33"/>
      <c r="Z100" s="64"/>
      <c r="AA100" s="33"/>
      <c r="AB100" s="64"/>
      <c r="AC100" s="33"/>
      <c r="AD100" s="64"/>
    </row>
    <row r="101" spans="1:30" x14ac:dyDescent="0.25">
      <c r="A101" s="14" t="s">
        <v>123</v>
      </c>
      <c r="B101" s="33"/>
      <c r="C101" s="33">
        <f>IF(C36=0,0,C41/C36)</f>
        <v>1.0440930955167687</v>
      </c>
      <c r="D101" s="64"/>
      <c r="E101" s="33">
        <f>IF(E36=0,0,E41/E36)</f>
        <v>0.33562609550916794</v>
      </c>
      <c r="F101" s="64"/>
      <c r="G101" s="33">
        <f>IF(G36=0,0,G41/G36)</f>
        <v>0.26209776102332399</v>
      </c>
      <c r="H101" s="64"/>
      <c r="I101" s="33">
        <f>IF(I36=0,0,I41/I36)</f>
        <v>0.18752672722583288</v>
      </c>
      <c r="J101" s="64"/>
      <c r="K101" s="33">
        <f>IF(K36=0,0,K41/K36)</f>
        <v>0.1109478851987838</v>
      </c>
      <c r="L101" s="64"/>
      <c r="M101" s="33">
        <f>IF(M36=0,0,M41/M36)</f>
        <v>4.0010499112073467E-2</v>
      </c>
      <c r="N101" s="64"/>
      <c r="O101" s="33">
        <f>IF(O36=0,0,O41/O36)</f>
        <v>0</v>
      </c>
      <c r="P101" s="64"/>
      <c r="Q101" s="33">
        <f>IF(Q36=0,0,Q41/Q36)</f>
        <v>0</v>
      </c>
      <c r="R101" s="64"/>
      <c r="S101" s="33">
        <f>IF(S36=0,0,S41/S36)</f>
        <v>0</v>
      </c>
      <c r="T101" s="64"/>
      <c r="U101" s="33">
        <f>IF(U36=0,0,U41/U36)</f>
        <v>0</v>
      </c>
      <c r="V101" s="64"/>
      <c r="W101" s="33">
        <f>IF(W36=0,0,W41/W36)</f>
        <v>0</v>
      </c>
      <c r="X101" s="64"/>
      <c r="Y101" s="33">
        <f>IF(Y36=0,0,Y41/Y36)</f>
        <v>0</v>
      </c>
      <c r="Z101" s="64"/>
      <c r="AA101" s="33">
        <f>IF(AA36=0,0,AA41/AA36)</f>
        <v>0</v>
      </c>
      <c r="AB101" s="64"/>
      <c r="AC101" s="33"/>
      <c r="AD101" s="64"/>
    </row>
    <row r="102" spans="1:30" x14ac:dyDescent="0.25">
      <c r="A102" s="14" t="s">
        <v>121</v>
      </c>
      <c r="B102" s="33"/>
      <c r="C102" s="33">
        <f>IF(C44=0,0,C41/C44)</f>
        <v>-23.679287727025169</v>
      </c>
      <c r="D102" s="33"/>
      <c r="E102" s="33">
        <f>IF(E44=0,0,E41/E44)</f>
        <v>0.50517651768154204</v>
      </c>
      <c r="F102" s="33"/>
      <c r="G102" s="33">
        <f>IF(G44=0,0,G41/G44)</f>
        <v>0.35645918751722699</v>
      </c>
      <c r="H102" s="33"/>
      <c r="I102" s="33">
        <f>IF(I44=0,0,I41/I44)</f>
        <v>0.23137833381609005</v>
      </c>
      <c r="J102" s="33"/>
      <c r="K102" s="33">
        <f>IF(K44=0,0,K41/K44)</f>
        <v>0.12526241301190871</v>
      </c>
      <c r="L102" s="33"/>
      <c r="M102" s="33">
        <f>IF(M44=0,0,M41/M44)</f>
        <v>4.1876754623027562E-2</v>
      </c>
      <c r="N102" s="33"/>
      <c r="O102" s="33">
        <f>IF(O44=0,0,O41/O44)</f>
        <v>0</v>
      </c>
      <c r="P102" s="33"/>
      <c r="Q102" s="33">
        <f>IF(Q44=0,0,Q41/Q44)</f>
        <v>0</v>
      </c>
      <c r="R102" s="33"/>
      <c r="S102" s="33">
        <f>IF(S44=0,0,S41/S44)</f>
        <v>0</v>
      </c>
      <c r="T102" s="33"/>
      <c r="U102" s="33">
        <f>IF(U44=0,0,U41/U44)</f>
        <v>0</v>
      </c>
      <c r="V102" s="33"/>
      <c r="W102" s="33">
        <f>IF(W44=0,0,W41/W44)</f>
        <v>0</v>
      </c>
      <c r="X102" s="33"/>
      <c r="Y102" s="33">
        <f>IF(Y44=0,0,Y41/Y44)</f>
        <v>0</v>
      </c>
      <c r="Z102" s="33"/>
      <c r="AA102" s="33">
        <f>IF(AA44=0,0,AA41/AA44)</f>
        <v>0</v>
      </c>
      <c r="AB102" s="33"/>
      <c r="AC102" s="33"/>
      <c r="AD102" s="64"/>
    </row>
    <row r="103" spans="1:30" x14ac:dyDescent="0.25">
      <c r="A103" s="14"/>
      <c r="B103" s="33"/>
      <c r="C103" s="33"/>
      <c r="D103" s="64"/>
      <c r="E103" s="33"/>
      <c r="F103" s="64"/>
      <c r="G103" s="33"/>
      <c r="H103" s="64"/>
      <c r="I103" s="33"/>
      <c r="J103" s="64"/>
      <c r="K103" s="33"/>
      <c r="L103" s="64"/>
      <c r="M103" s="33"/>
      <c r="N103" s="64"/>
      <c r="O103" s="33"/>
      <c r="P103" s="64"/>
      <c r="Q103" s="33"/>
      <c r="R103" s="64"/>
      <c r="S103" s="33"/>
      <c r="T103" s="64"/>
      <c r="U103" s="33"/>
      <c r="V103" s="64"/>
      <c r="W103" s="33"/>
      <c r="X103" s="64"/>
      <c r="Y103" s="33"/>
      <c r="Z103" s="64"/>
      <c r="AA103" s="33"/>
      <c r="AB103" s="64"/>
      <c r="AC103" s="33"/>
      <c r="AD103" s="64"/>
    </row>
    <row r="104" spans="1:30" x14ac:dyDescent="0.25">
      <c r="A104" t="s">
        <v>114</v>
      </c>
      <c r="B104" s="33"/>
      <c r="C104" s="33"/>
      <c r="D104" s="64"/>
      <c r="E104" s="33"/>
      <c r="F104" s="64"/>
      <c r="G104" s="33"/>
      <c r="H104" s="64"/>
      <c r="I104" s="33"/>
      <c r="J104" s="64"/>
      <c r="K104" s="33"/>
      <c r="L104" s="64"/>
      <c r="M104" s="33"/>
      <c r="N104" s="64"/>
      <c r="O104" s="33"/>
      <c r="P104" s="64"/>
      <c r="Q104" s="33"/>
      <c r="R104" s="64"/>
      <c r="S104" s="33"/>
      <c r="T104" s="64"/>
      <c r="U104" s="33"/>
      <c r="V104" s="64"/>
      <c r="W104" s="33"/>
      <c r="X104" s="64"/>
      <c r="Y104" s="33"/>
      <c r="Z104" s="64"/>
      <c r="AA104" s="33"/>
      <c r="AB104" s="64"/>
      <c r="AC104" s="33"/>
      <c r="AD104" s="64"/>
    </row>
    <row r="105" spans="1:30" x14ac:dyDescent="0.25">
      <c r="A105" s="115" t="s">
        <v>111</v>
      </c>
      <c r="B105" s="33"/>
      <c r="C105" s="33">
        <f>IF(C44=0,0,C65/C44)</f>
        <v>1</v>
      </c>
      <c r="D105" s="64"/>
      <c r="E105" s="33">
        <f>IF(E44=0,0,E65/E44)</f>
        <v>1.0139708910822305</v>
      </c>
      <c r="F105" s="64"/>
      <c r="G105" s="33">
        <f>IF(G44=0,0,G65/G44)</f>
        <v>-7.7499485139261012E-2</v>
      </c>
      <c r="H105" s="64"/>
      <c r="I105" s="33">
        <f>IF(I44=0,0,I65/I44)</f>
        <v>0.65443894049072182</v>
      </c>
      <c r="J105" s="64"/>
      <c r="K105" s="33">
        <f>IF(K44=0,0,K65/K44)</f>
        <v>-1.69185364978502E-2</v>
      </c>
      <c r="L105" s="64"/>
      <c r="M105" s="33">
        <f>IF(M44=0,0,M65/M44)</f>
        <v>4.8519427412612275E-2</v>
      </c>
      <c r="N105" s="64"/>
      <c r="O105" s="33">
        <f>IF(O44=0,0,O65/O44)</f>
        <v>-4.1889103133234528E-3</v>
      </c>
      <c r="P105" s="64"/>
      <c r="Q105" s="33">
        <f>IF(Q44=0,0,Q65/Q44)</f>
        <v>-4.2065310948098174E-3</v>
      </c>
      <c r="R105" s="64"/>
      <c r="S105" s="33">
        <f>IF(S44=0,0,S65/S44)</f>
        <v>-4.2243007472569823E-3</v>
      </c>
      <c r="T105" s="64"/>
      <c r="U105" s="33">
        <f>IF(U44=0,0,U65/U44)</f>
        <v>-4.2422211652955698E-3</v>
      </c>
      <c r="V105" s="64"/>
      <c r="W105" s="33">
        <f>IF(W44=0,0,W65/W44)</f>
        <v>-4.2602942758429383E-3</v>
      </c>
      <c r="X105" s="64"/>
      <c r="Y105" s="33">
        <f>IF(Y44=0,0,Y65/Y44)</f>
        <v>-4.2785220387938794E-3</v>
      </c>
      <c r="Z105" s="64"/>
      <c r="AA105" s="33">
        <f>IF(AA44=0,0,AA65/AA44)</f>
        <v>-1.2239397973388239E-3</v>
      </c>
      <c r="AB105" s="64"/>
      <c r="AC105" s="33">
        <f>IF(AA44=0,0,AC65/AA44)</f>
        <v>0.99999999999999967</v>
      </c>
      <c r="AD105" s="64"/>
    </row>
    <row r="106" spans="1:30" x14ac:dyDescent="0.25">
      <c r="A106" s="115" t="s">
        <v>112</v>
      </c>
      <c r="B106" s="33"/>
      <c r="C106" s="33">
        <f>IF(C36=0,0,C63/C36)</f>
        <v>-4.4093095516768661E-2</v>
      </c>
      <c r="D106" s="64"/>
      <c r="E106" s="33">
        <f>IF(E36=0,0,E63/E36)</f>
        <v>0.67365579994834957</v>
      </c>
      <c r="F106" s="64"/>
      <c r="G106" s="33">
        <f>IF(G36=0,0,G63/G36)</f>
        <v>-4.781056307706965E-2</v>
      </c>
      <c r="H106" s="64"/>
      <c r="I106" s="33">
        <f>IF(I36=0,0,I63/I36)</f>
        <v>0.53390159069765997</v>
      </c>
      <c r="J106" s="64"/>
      <c r="K106" s="33">
        <f>IF(K36=0,0,K63/K36)</f>
        <v>-1.1102000132416301E-2</v>
      </c>
      <c r="L106" s="64"/>
      <c r="M106" s="33">
        <f>IF(M36=0,0,M63/M36)</f>
        <v>5.0342673026107176E-2</v>
      </c>
      <c r="N106" s="64"/>
      <c r="O106" s="33">
        <f>IF(O36=0,0,O63/O36)</f>
        <v>0</v>
      </c>
      <c r="P106" s="64"/>
      <c r="Q106" s="33">
        <f>IF(Q36=0,0,Q63/Q36)</f>
        <v>0</v>
      </c>
      <c r="R106" s="64"/>
      <c r="S106" s="33">
        <f>IF(S36=0,0,S63/S36)</f>
        <v>0</v>
      </c>
      <c r="T106" s="64"/>
      <c r="U106" s="33">
        <f>IF(U36=0,0,U63/U36)</f>
        <v>0</v>
      </c>
      <c r="V106" s="64"/>
      <c r="W106" s="33">
        <f>IF(W36=0,0,W63/W36)</f>
        <v>0</v>
      </c>
      <c r="X106" s="64"/>
      <c r="Y106" s="33">
        <f>IF(Y36=0,0,Y63/Y36)</f>
        <v>0</v>
      </c>
      <c r="Z106" s="64"/>
      <c r="AA106" s="33">
        <f>IF(AA36=0,0,AA63/AA36)</f>
        <v>0</v>
      </c>
      <c r="AB106" s="64"/>
      <c r="AC106" s="33">
        <f>IF(AA36=0,0,AC63/AA36)</f>
        <v>1.0301917077886871</v>
      </c>
      <c r="AD106" s="64"/>
    </row>
    <row r="107" spans="1:30" x14ac:dyDescent="0.25">
      <c r="A107" s="115" t="s">
        <v>115</v>
      </c>
      <c r="B107" s="33"/>
      <c r="C107" s="33">
        <f>IF(C30=0,0,C63/C30)</f>
        <v>-4.4093095516768661E-2</v>
      </c>
      <c r="D107" s="64"/>
      <c r="E107" s="33">
        <f>IF(E30=0,0,E63/E30)</f>
        <v>0.67365579994834957</v>
      </c>
      <c r="F107" s="64"/>
      <c r="G107" s="33">
        <f>IF(G30=0,0,G63/G30)</f>
        <v>-7.7942803915620182E-2</v>
      </c>
      <c r="H107" s="64"/>
      <c r="I107" s="33">
        <f>IF(I30=0,0,I63/I30)</f>
        <v>0.62426977466832345</v>
      </c>
      <c r="J107" s="64"/>
      <c r="K107" s="33">
        <f>IF(K30=0,0,K63/K30)</f>
        <v>-1.3186852287223388E-2</v>
      </c>
      <c r="L107" s="64"/>
      <c r="M107" s="33">
        <f>IF(M30=0,0,M63/M30)</f>
        <v>5.9890588799806688E-2</v>
      </c>
      <c r="N107" s="64"/>
      <c r="O107" s="33">
        <f>IF(O30=0,0,O63/O30)</f>
        <v>0</v>
      </c>
      <c r="P107" s="64"/>
      <c r="Q107" s="33">
        <f>IF(Q30=0,0,Q63/Q30)</f>
        <v>0</v>
      </c>
      <c r="R107" s="64"/>
      <c r="S107" s="33">
        <f>IF(S30=0,0,S63/S30)</f>
        <v>0</v>
      </c>
      <c r="T107" s="64"/>
      <c r="U107" s="33">
        <f>IF(U30=0,0,U63/U30)</f>
        <v>0</v>
      </c>
      <c r="V107" s="64"/>
      <c r="W107" s="33">
        <f>IF(W30=0,0,W63/W30)</f>
        <v>0</v>
      </c>
      <c r="X107" s="64"/>
      <c r="Y107" s="33">
        <f>IF(Y30=0,0,Y63/Y30)</f>
        <v>0</v>
      </c>
      <c r="Z107" s="64"/>
      <c r="AA107" s="33">
        <f>IF(AA30=0,0,AA63/AA30)</f>
        <v>0</v>
      </c>
      <c r="AB107" s="64"/>
      <c r="AC107" s="33">
        <f>IF(AA30=0,0,AC63/AA30)</f>
        <v>1.2133611290729573</v>
      </c>
      <c r="AD107" s="64"/>
    </row>
    <row r="108" spans="1:30" x14ac:dyDescent="0.25">
      <c r="A108" s="14" t="s">
        <v>118</v>
      </c>
      <c r="B108" s="33"/>
      <c r="C108" s="33">
        <f>IF(C51=0,0,C58/C51)</f>
        <v>0</v>
      </c>
      <c r="D108" s="64"/>
      <c r="E108" s="33">
        <f>IF(E51=0,0,E58/E51)</f>
        <v>0.93379477838494229</v>
      </c>
      <c r="F108" s="64"/>
      <c r="G108" s="33">
        <f>IF(G51=0,0,G58/G51)</f>
        <v>0</v>
      </c>
      <c r="H108" s="64"/>
      <c r="I108" s="33">
        <f>IF(I51=0,0,I58/I51)</f>
        <v>0.97535519125683057</v>
      </c>
      <c r="J108" s="64"/>
      <c r="K108" s="33">
        <f>IF(K51=0,0,K58/K51)</f>
        <v>0</v>
      </c>
      <c r="L108" s="64"/>
      <c r="M108" s="33">
        <f>IF(M51=0,0,M58/M51)</f>
        <v>0.98009107468123857</v>
      </c>
      <c r="N108" s="64"/>
      <c r="O108" s="33">
        <f>IF(O51=0,0,O58/O51)</f>
        <v>0</v>
      </c>
      <c r="P108" s="64"/>
      <c r="Q108" s="33">
        <f>IF(Q51=0,0,Q58/Q51)</f>
        <v>0</v>
      </c>
      <c r="R108" s="64"/>
      <c r="S108" s="33">
        <f>IF(S51=0,0,S58/S51)</f>
        <v>0</v>
      </c>
      <c r="T108" s="64"/>
      <c r="U108" s="33">
        <f>IF(U51=0,0,U58/U51)</f>
        <v>0</v>
      </c>
      <c r="V108" s="64"/>
      <c r="W108" s="33">
        <f>IF(W51=0,0,W58/W51)</f>
        <v>0</v>
      </c>
      <c r="X108" s="64"/>
      <c r="Y108" s="33">
        <f>IF(Y51=0,0,Y58/Y51)</f>
        <v>0</v>
      </c>
      <c r="Z108" s="64"/>
      <c r="AA108" s="33">
        <f>IF(AA51=0,0,AA58/AA51)</f>
        <v>0</v>
      </c>
      <c r="AB108" s="64"/>
      <c r="AC108" s="33">
        <f>IF(AC51=0,0,AC58/AC51)</f>
        <v>0.94217486338797818</v>
      </c>
      <c r="AD108" s="64"/>
    </row>
    <row r="109" spans="1:30" x14ac:dyDescent="0.25">
      <c r="A109" s="14" t="s">
        <v>119</v>
      </c>
      <c r="B109" s="33"/>
      <c r="C109" s="33">
        <f>IF(C51=0,0,C63/C51)</f>
        <v>0</v>
      </c>
      <c r="E109" s="33">
        <f>IF(E51=0,0,E63/E51)</f>
        <v>0.93048451730418935</v>
      </c>
      <c r="G109" s="33">
        <f>IF(G51=0,0,G63/G51)</f>
        <v>0</v>
      </c>
      <c r="I109" s="33">
        <f>IF(I51=0,0,I63/I51)</f>
        <v>0.97412295081967215</v>
      </c>
      <c r="K109" s="33">
        <f>IF(K51=0,0,K63/K51)</f>
        <v>0</v>
      </c>
      <c r="M109" s="33">
        <f>IF(M51=0,0,M63/M51)</f>
        <v>0.20131785063752289</v>
      </c>
      <c r="O109" s="33">
        <f>IF(O51=0,0,O63/O51)</f>
        <v>0</v>
      </c>
      <c r="Q109" s="33">
        <f>IF(Q51=0,0,Q63/Q51)</f>
        <v>0</v>
      </c>
      <c r="S109" s="33">
        <f>IF(S51=0,0,S63/S51)</f>
        <v>0</v>
      </c>
      <c r="U109" s="33">
        <f>IF(U51=0,0,U63/U51)</f>
        <v>0</v>
      </c>
      <c r="W109" s="33">
        <f>IF(W51=0,0,W63/W51)</f>
        <v>0</v>
      </c>
      <c r="Y109" s="33">
        <f>IF(Y51=0,0,Y63/Y51)</f>
        <v>0</v>
      </c>
      <c r="AA109" s="33">
        <f>IF(AA51=0,0,AA63/AA51)</f>
        <v>0</v>
      </c>
      <c r="AC109" s="33">
        <f>IF(AC51=0,0,AC63/AC51)</f>
        <v>0.77689744990892529</v>
      </c>
    </row>
    <row r="110" spans="1:30" x14ac:dyDescent="0.25">
      <c r="A110" s="115" t="s">
        <v>113</v>
      </c>
      <c r="B110" s="33"/>
      <c r="C110" s="33">
        <f>IF(C51=0,0,(C63+C64)/C51)</f>
        <v>0</v>
      </c>
      <c r="D110" s="64"/>
      <c r="E110" s="33">
        <f>IF(E51=0,0,(E63+E64)/E51)</f>
        <v>0.93048451730418935</v>
      </c>
      <c r="F110" s="64"/>
      <c r="G110" s="33">
        <f>IF(G51=0,0,(G63+G64)/G51)</f>
        <v>0</v>
      </c>
      <c r="H110" s="64"/>
      <c r="I110" s="33">
        <f>IF(I51=0,0,(I63+I64)/I51)</f>
        <v>0.98049813296903454</v>
      </c>
      <c r="J110" s="64"/>
      <c r="K110" s="33">
        <f>IF(K51=0,0,(K63+K64)/K51)</f>
        <v>0</v>
      </c>
      <c r="L110" s="64"/>
      <c r="M110" s="33">
        <f>IF(M51=0,0,(M63+M64)/M51)</f>
        <v>0.21725580601092906</v>
      </c>
      <c r="N110" s="64"/>
      <c r="O110" s="33">
        <f>IF(O51=0,0,(O63+O64)/O51)</f>
        <v>0</v>
      </c>
      <c r="P110" s="64"/>
      <c r="Q110" s="33">
        <f>IF(Q51=0,0,(Q63+Q64)/Q51)</f>
        <v>0</v>
      </c>
      <c r="R110" s="64"/>
      <c r="S110" s="33">
        <f>IF(S51=0,0,(S63+S64)/S51)</f>
        <v>0</v>
      </c>
      <c r="T110" s="64"/>
      <c r="U110" s="33">
        <f>IF(U51=0,0,(U63+U64)/U51)</f>
        <v>0</v>
      </c>
      <c r="V110" s="64"/>
      <c r="W110" s="33">
        <f>IF(W51=0,0,(W63+W64)/W51)</f>
        <v>0</v>
      </c>
      <c r="X110" s="64"/>
      <c r="Y110" s="33">
        <f>IF(Y51=0,0,(Y63+Y64)/Y51)</f>
        <v>0</v>
      </c>
      <c r="Z110" s="64"/>
      <c r="AA110" s="33">
        <f>IF(AA51=0,0,(AA63+AA64)/AA51)</f>
        <v>0</v>
      </c>
      <c r="AB110" s="64"/>
      <c r="AC110" s="33">
        <f>IF(AC51=0,0,(AC63+AC64)/AC51)</f>
        <v>0.80968410746812391</v>
      </c>
      <c r="AD110" s="64"/>
    </row>
    <row r="111" spans="1:30" x14ac:dyDescent="0.25">
      <c r="A111" s="14" t="s">
        <v>120</v>
      </c>
      <c r="B111" s="33"/>
      <c r="C111" s="33">
        <f>IF(C51=0,0,C65/C51)</f>
        <v>0</v>
      </c>
      <c r="E111" s="33">
        <f>IF(E51=0,0,E65/E51)</f>
        <v>0.93048451730418935</v>
      </c>
      <c r="G111" s="33">
        <f>IF(G51=0,0,G65/G51)</f>
        <v>0</v>
      </c>
      <c r="I111" s="33">
        <f>IF(I51=0,0,I65/I51)</f>
        <v>0.96774776867030965</v>
      </c>
      <c r="K111" s="33">
        <f>IF(K51=0,0,K65/K51)</f>
        <v>0</v>
      </c>
      <c r="M111" s="33">
        <f>IF(M51=0,0,M65/M51)</f>
        <v>0.18537989526411669</v>
      </c>
      <c r="O111" s="33">
        <f>IF(O51=0,0,O65/O51)</f>
        <v>0</v>
      </c>
      <c r="Q111" s="33">
        <f>IF(Q51=0,0,Q65/Q51)</f>
        <v>0</v>
      </c>
      <c r="S111" s="33">
        <f>IF(S51=0,0,S65/S51)</f>
        <v>0</v>
      </c>
      <c r="U111" s="33">
        <f>IF(U51=0,0,U65/U51)</f>
        <v>0</v>
      </c>
      <c r="W111" s="33">
        <f>IF(W51=0,0,W65/W51)</f>
        <v>0</v>
      </c>
      <c r="Y111" s="33">
        <f>IF(Y51=0,0,Y65/Y51)</f>
        <v>0</v>
      </c>
      <c r="AA111" s="33">
        <f>IF(AA51=0,0,AA65/AA51)</f>
        <v>0</v>
      </c>
      <c r="AC111" s="33">
        <f>IF(AC51=0,0,AC65/AC51)</f>
        <v>0.74411079234972677</v>
      </c>
    </row>
    <row r="112" spans="1:30" x14ac:dyDescent="0.25">
      <c r="B112" s="33"/>
      <c r="C112" s="33"/>
    </row>
    <row r="113" spans="1:30" x14ac:dyDescent="0.25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</row>
    <row r="114" spans="1:30" ht="21" x14ac:dyDescent="0.35">
      <c r="A114" s="101" t="s">
        <v>103</v>
      </c>
      <c r="B114" s="104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6"/>
      <c r="AD114" s="64"/>
    </row>
    <row r="115" spans="1:30" x14ac:dyDescent="0.25">
      <c r="A115" s="1" t="s">
        <v>100</v>
      </c>
      <c r="B115" s="42" t="s">
        <v>51</v>
      </c>
      <c r="C115" s="42" t="s">
        <v>52</v>
      </c>
      <c r="D115" s="42" t="s">
        <v>53</v>
      </c>
      <c r="E115" s="42" t="s">
        <v>54</v>
      </c>
      <c r="F115" s="42" t="s">
        <v>55</v>
      </c>
      <c r="G115" s="42" t="s">
        <v>56</v>
      </c>
      <c r="H115" s="42"/>
      <c r="I115" s="42"/>
      <c r="J115" s="42"/>
      <c r="K115" s="42"/>
      <c r="L115" s="42"/>
      <c r="M115" s="42"/>
      <c r="N115" s="42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</row>
    <row r="116" spans="1:30" x14ac:dyDescent="0.25">
      <c r="A116" s="14" t="s">
        <v>91</v>
      </c>
      <c r="B116" s="64">
        <f>$B$8</f>
        <v>50000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</row>
    <row r="117" spans="1:30" x14ac:dyDescent="0.25">
      <c r="A117" s="14" t="s">
        <v>92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>F118</f>
        <v>50000</v>
      </c>
      <c r="H117" s="80">
        <v>0</v>
      </c>
      <c r="I117" s="80">
        <v>0</v>
      </c>
      <c r="J117" s="80">
        <v>0</v>
      </c>
      <c r="K117" s="80">
        <v>0</v>
      </c>
      <c r="L117" s="80">
        <v>0</v>
      </c>
      <c r="M117" s="80">
        <v>0</v>
      </c>
      <c r="N117" s="80">
        <v>0</v>
      </c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</row>
    <row r="118" spans="1:30" x14ac:dyDescent="0.25">
      <c r="A118" s="1" t="s">
        <v>93</v>
      </c>
      <c r="B118" s="81">
        <f>B116-B117</f>
        <v>50000</v>
      </c>
      <c r="C118" s="81">
        <f>B118+C116-C117</f>
        <v>50000</v>
      </c>
      <c r="D118" s="81">
        <f t="shared" ref="D118:N118" si="44">C118+D116-D117</f>
        <v>50000</v>
      </c>
      <c r="E118" s="81">
        <f t="shared" si="44"/>
        <v>50000</v>
      </c>
      <c r="F118" s="81">
        <f t="shared" si="44"/>
        <v>50000</v>
      </c>
      <c r="G118" s="81">
        <f t="shared" si="44"/>
        <v>0</v>
      </c>
      <c r="H118" s="81">
        <f t="shared" si="44"/>
        <v>0</v>
      </c>
      <c r="I118" s="81">
        <f t="shared" si="44"/>
        <v>0</v>
      </c>
      <c r="J118" s="81">
        <f t="shared" si="44"/>
        <v>0</v>
      </c>
      <c r="K118" s="81">
        <f t="shared" si="44"/>
        <v>0</v>
      </c>
      <c r="L118" s="81">
        <f t="shared" si="44"/>
        <v>0</v>
      </c>
      <c r="M118" s="81">
        <f t="shared" si="44"/>
        <v>0</v>
      </c>
      <c r="N118" s="81">
        <f t="shared" si="44"/>
        <v>0</v>
      </c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</row>
    <row r="119" spans="1:30" x14ac:dyDescent="0.25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</row>
    <row r="120" spans="1:30" x14ac:dyDescent="0.25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</row>
    <row r="121" spans="1:30" x14ac:dyDescent="0.25">
      <c r="A121" s="1" t="s">
        <v>94</v>
      </c>
      <c r="B121" s="42" t="s">
        <v>51</v>
      </c>
      <c r="C121" s="42" t="s">
        <v>52</v>
      </c>
      <c r="D121" s="42" t="s">
        <v>53</v>
      </c>
      <c r="E121" s="42" t="s">
        <v>54</v>
      </c>
      <c r="F121" s="42" t="s">
        <v>55</v>
      </c>
      <c r="G121" s="42" t="s">
        <v>56</v>
      </c>
      <c r="H121" s="42"/>
      <c r="I121" s="42"/>
      <c r="J121" s="42"/>
      <c r="K121" s="42"/>
      <c r="L121" s="42"/>
      <c r="M121" s="42"/>
      <c r="N121" s="42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</row>
    <row r="122" spans="1:30" x14ac:dyDescent="0.25">
      <c r="A122" s="14" t="s">
        <v>95</v>
      </c>
      <c r="B122" s="64">
        <f>B21</f>
        <v>0</v>
      </c>
      <c r="C122" s="64">
        <f>C21</f>
        <v>26352</v>
      </c>
      <c r="D122" s="64">
        <f>D21</f>
        <v>0</v>
      </c>
      <c r="E122" s="64">
        <f>E21</f>
        <v>43920</v>
      </c>
      <c r="F122" s="64">
        <f>F21</f>
        <v>0</v>
      </c>
      <c r="G122" s="64">
        <f>G21</f>
        <v>17568</v>
      </c>
      <c r="H122" s="64">
        <f>H21</f>
        <v>0</v>
      </c>
      <c r="I122" s="64">
        <f>I21</f>
        <v>0</v>
      </c>
      <c r="J122" s="64">
        <f>J21</f>
        <v>0</v>
      </c>
      <c r="K122" s="64">
        <f>K21</f>
        <v>0</v>
      </c>
      <c r="L122" s="64">
        <f>L21</f>
        <v>0</v>
      </c>
      <c r="M122" s="64">
        <f>M21</f>
        <v>0</v>
      </c>
      <c r="N122" s="64">
        <f>N21</f>
        <v>0</v>
      </c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</row>
    <row r="123" spans="1:30" x14ac:dyDescent="0.25">
      <c r="A123" s="14" t="s">
        <v>96</v>
      </c>
      <c r="B123" s="80">
        <v>0</v>
      </c>
      <c r="C123" s="80">
        <f>B124</f>
        <v>0</v>
      </c>
      <c r="D123" s="80">
        <f t="shared" ref="D123:N123" si="45">C124</f>
        <v>26352</v>
      </c>
      <c r="E123" s="80">
        <f t="shared" si="45"/>
        <v>0</v>
      </c>
      <c r="F123" s="80">
        <f t="shared" si="45"/>
        <v>43920</v>
      </c>
      <c r="G123" s="80">
        <f t="shared" si="45"/>
        <v>0</v>
      </c>
      <c r="H123" s="80">
        <f t="shared" si="45"/>
        <v>17568</v>
      </c>
      <c r="I123" s="80">
        <f t="shared" si="45"/>
        <v>0</v>
      </c>
      <c r="J123" s="80">
        <f t="shared" si="45"/>
        <v>0</v>
      </c>
      <c r="K123" s="80">
        <f t="shared" si="45"/>
        <v>0</v>
      </c>
      <c r="L123" s="80">
        <f t="shared" si="45"/>
        <v>0</v>
      </c>
      <c r="M123" s="80">
        <f t="shared" si="45"/>
        <v>0</v>
      </c>
      <c r="N123" s="80">
        <f t="shared" si="45"/>
        <v>0</v>
      </c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</row>
    <row r="124" spans="1:30" x14ac:dyDescent="0.25">
      <c r="A124" s="1" t="s">
        <v>93</v>
      </c>
      <c r="B124" s="81">
        <f>B122-B123</f>
        <v>0</v>
      </c>
      <c r="C124" s="81">
        <f>B124+C122-C123</f>
        <v>26352</v>
      </c>
      <c r="D124" s="81">
        <f t="shared" ref="D124:N124" si="46">C124+D122-D123</f>
        <v>0</v>
      </c>
      <c r="E124" s="81">
        <f t="shared" si="46"/>
        <v>43920</v>
      </c>
      <c r="F124" s="81">
        <f t="shared" si="46"/>
        <v>0</v>
      </c>
      <c r="G124" s="81">
        <f t="shared" si="46"/>
        <v>17568</v>
      </c>
      <c r="H124" s="81">
        <f t="shared" si="46"/>
        <v>0</v>
      </c>
      <c r="I124" s="81">
        <f t="shared" si="46"/>
        <v>0</v>
      </c>
      <c r="J124" s="81">
        <f t="shared" si="46"/>
        <v>0</v>
      </c>
      <c r="K124" s="81">
        <f t="shared" si="46"/>
        <v>0</v>
      </c>
      <c r="L124" s="81">
        <f t="shared" si="46"/>
        <v>0</v>
      </c>
      <c r="M124" s="81">
        <f t="shared" si="46"/>
        <v>0</v>
      </c>
      <c r="N124" s="81">
        <f t="shared" si="46"/>
        <v>0</v>
      </c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</row>
    <row r="125" spans="1:30" x14ac:dyDescent="0.25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</row>
    <row r="126" spans="1:30" x14ac:dyDescent="0.25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</row>
    <row r="127" spans="1:30" x14ac:dyDescent="0.25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</row>
    <row r="128" spans="1:30" x14ac:dyDescent="0.25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</row>
    <row r="129" spans="2:30" x14ac:dyDescent="0.25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</row>
    <row r="130" spans="2:30" x14ac:dyDescent="0.25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</row>
    <row r="131" spans="2:30" x14ac:dyDescent="0.25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</row>
    <row r="132" spans="2:30" x14ac:dyDescent="0.25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</row>
    <row r="133" spans="2:30" x14ac:dyDescent="0.25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</row>
    <row r="134" spans="2:30" x14ac:dyDescent="0.25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</row>
    <row r="135" spans="2:30" x14ac:dyDescent="0.25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</row>
    <row r="136" spans="2:30" x14ac:dyDescent="0.25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</row>
    <row r="137" spans="2:30" x14ac:dyDescent="0.25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</row>
    <row r="138" spans="2:30" x14ac:dyDescent="0.25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</row>
    <row r="139" spans="2:30" x14ac:dyDescent="0.25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</row>
    <row r="140" spans="2:30" x14ac:dyDescent="0.25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</row>
    <row r="141" spans="2:30" x14ac:dyDescent="0.25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</row>
    <row r="142" spans="2:30" x14ac:dyDescent="0.25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</row>
    <row r="143" spans="2:30" x14ac:dyDescent="0.25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</row>
    <row r="144" spans="2:30" x14ac:dyDescent="0.25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</row>
    <row r="145" spans="2:30" x14ac:dyDescent="0.25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</row>
    <row r="146" spans="2:30" x14ac:dyDescent="0.2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</row>
    <row r="147" spans="2:30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</row>
    <row r="148" spans="2:30" x14ac:dyDescent="0.2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</row>
    <row r="149" spans="2:30" x14ac:dyDescent="0.2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</row>
    <row r="150" spans="2:30" x14ac:dyDescent="0.25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</row>
    <row r="151" spans="2:30" x14ac:dyDescent="0.25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</row>
    <row r="152" spans="2:30" x14ac:dyDescent="0.25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</row>
    <row r="153" spans="2:30" x14ac:dyDescent="0.25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</row>
    <row r="154" spans="2:30" x14ac:dyDescent="0.25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</row>
    <row r="155" spans="2:30" x14ac:dyDescent="0.25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</row>
    <row r="156" spans="2:30" x14ac:dyDescent="0.25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</row>
    <row r="157" spans="2:30" x14ac:dyDescent="0.25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</row>
    <row r="158" spans="2:30" x14ac:dyDescent="0.25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</row>
    <row r="159" spans="2:30" x14ac:dyDescent="0.25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</row>
    <row r="160" spans="2:30" x14ac:dyDescent="0.2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</row>
    <row r="161" spans="2:30" x14ac:dyDescent="0.2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</row>
    <row r="162" spans="2:30" x14ac:dyDescent="0.25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</row>
    <row r="163" spans="2:30" x14ac:dyDescent="0.25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</row>
    <row r="164" spans="2:30" x14ac:dyDescent="0.25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</row>
    <row r="165" spans="2:30" x14ac:dyDescent="0.25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</row>
    <row r="166" spans="2:30" x14ac:dyDescent="0.25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</row>
    <row r="167" spans="2:30" x14ac:dyDescent="0.25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</row>
    <row r="168" spans="2:30" x14ac:dyDescent="0.25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</row>
    <row r="169" spans="2:30" x14ac:dyDescent="0.25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</row>
    <row r="170" spans="2:30" x14ac:dyDescent="0.25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</row>
    <row r="171" spans="2:30" x14ac:dyDescent="0.25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</row>
    <row r="172" spans="2:30" x14ac:dyDescent="0.25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</row>
    <row r="173" spans="2:30" x14ac:dyDescent="0.25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</row>
    <row r="174" spans="2:30" x14ac:dyDescent="0.25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</row>
    <row r="175" spans="2:30" x14ac:dyDescent="0.25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</row>
    <row r="176" spans="2:30" x14ac:dyDescent="0.25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</row>
    <row r="177" spans="2:30" x14ac:dyDescent="0.25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</row>
    <row r="178" spans="2:30" x14ac:dyDescent="0.25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</row>
    <row r="179" spans="2:30" x14ac:dyDescent="0.25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</row>
    <row r="180" spans="2:30" x14ac:dyDescent="0.25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</row>
    <row r="181" spans="2:30" x14ac:dyDescent="0.25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</row>
    <row r="182" spans="2:30" x14ac:dyDescent="0.25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</row>
    <row r="183" spans="2:30" x14ac:dyDescent="0.25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</row>
    <row r="184" spans="2:30" x14ac:dyDescent="0.25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</row>
    <row r="185" spans="2:30" x14ac:dyDescent="0.25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</row>
    <row r="186" spans="2:30" x14ac:dyDescent="0.25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</row>
    <row r="187" spans="2:30" x14ac:dyDescent="0.25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</row>
    <row r="188" spans="2:30" x14ac:dyDescent="0.25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</row>
    <row r="189" spans="2:30" x14ac:dyDescent="0.25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</row>
    <row r="190" spans="2:30" x14ac:dyDescent="0.25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</row>
    <row r="191" spans="2:30" x14ac:dyDescent="0.25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</row>
    <row r="192" spans="2:30" x14ac:dyDescent="0.25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</row>
    <row r="193" spans="2:30" x14ac:dyDescent="0.25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</row>
    <row r="194" spans="2:30" x14ac:dyDescent="0.25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</row>
    <row r="195" spans="2:30" x14ac:dyDescent="0.25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</row>
    <row r="196" spans="2:30" x14ac:dyDescent="0.25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</row>
    <row r="197" spans="2:30" x14ac:dyDescent="0.25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</row>
    <row r="198" spans="2:30" x14ac:dyDescent="0.25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</row>
    <row r="199" spans="2:30" x14ac:dyDescent="0.25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</row>
    <row r="200" spans="2:30" x14ac:dyDescent="0.25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</row>
    <row r="201" spans="2:30" x14ac:dyDescent="0.25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</row>
    <row r="202" spans="2:30" x14ac:dyDescent="0.25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</row>
    <row r="203" spans="2:30" x14ac:dyDescent="0.25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</row>
    <row r="204" spans="2:30" x14ac:dyDescent="0.25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</row>
    <row r="205" spans="2:30" x14ac:dyDescent="0.25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</row>
    <row r="206" spans="2:30" x14ac:dyDescent="0.25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</row>
    <row r="207" spans="2:30" x14ac:dyDescent="0.25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</row>
    <row r="208" spans="2:30" x14ac:dyDescent="0.25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</row>
    <row r="209" spans="2:30" x14ac:dyDescent="0.25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</row>
    <row r="210" spans="2:30" x14ac:dyDescent="0.25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</row>
    <row r="211" spans="2:30" x14ac:dyDescent="0.25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</row>
    <row r="212" spans="2:30" x14ac:dyDescent="0.25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</row>
    <row r="213" spans="2:30" x14ac:dyDescent="0.25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</row>
    <row r="214" spans="2:30" x14ac:dyDescent="0.25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</row>
    <row r="215" spans="2:30" x14ac:dyDescent="0.25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</row>
    <row r="216" spans="2:30" x14ac:dyDescent="0.25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</row>
    <row r="217" spans="2:30" x14ac:dyDescent="0.25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</row>
    <row r="218" spans="2:30" x14ac:dyDescent="0.25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</row>
    <row r="219" spans="2:30" x14ac:dyDescent="0.25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</row>
    <row r="220" spans="2:30" x14ac:dyDescent="0.25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</row>
    <row r="221" spans="2:30" x14ac:dyDescent="0.25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</row>
    <row r="222" spans="2:30" x14ac:dyDescent="0.25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</row>
    <row r="223" spans="2:30" x14ac:dyDescent="0.25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</row>
    <row r="224" spans="2:30" x14ac:dyDescent="0.25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</row>
    <row r="225" spans="2:30" x14ac:dyDescent="0.25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</row>
    <row r="226" spans="2:30" x14ac:dyDescent="0.25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</row>
    <row r="227" spans="2:30" x14ac:dyDescent="0.25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</row>
    <row r="228" spans="2:30" x14ac:dyDescent="0.25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</row>
    <row r="229" spans="2:30" x14ac:dyDescent="0.25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</row>
    <row r="230" spans="2:30" x14ac:dyDescent="0.25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</row>
    <row r="231" spans="2:30" x14ac:dyDescent="0.25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</row>
    <row r="232" spans="2:30" x14ac:dyDescent="0.25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</row>
    <row r="233" spans="2:30" x14ac:dyDescent="0.25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</row>
    <row r="234" spans="2:30" x14ac:dyDescent="0.25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</row>
    <row r="235" spans="2:30" x14ac:dyDescent="0.25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</row>
    <row r="236" spans="2:30" x14ac:dyDescent="0.25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</row>
    <row r="237" spans="2:30" x14ac:dyDescent="0.25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</row>
    <row r="238" spans="2:30" x14ac:dyDescent="0.25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</row>
    <row r="239" spans="2:30" x14ac:dyDescent="0.25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</row>
    <row r="240" spans="2:30" x14ac:dyDescent="0.25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</row>
    <row r="241" spans="2:30" x14ac:dyDescent="0.25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</row>
    <row r="242" spans="2:30" x14ac:dyDescent="0.25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</row>
    <row r="243" spans="2:30" x14ac:dyDescent="0.25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</row>
    <row r="244" spans="2:30" x14ac:dyDescent="0.25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</row>
    <row r="245" spans="2:30" x14ac:dyDescent="0.25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</row>
    <row r="246" spans="2:30" x14ac:dyDescent="0.25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</row>
    <row r="247" spans="2:30" x14ac:dyDescent="0.25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</row>
    <row r="248" spans="2:30" x14ac:dyDescent="0.25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</row>
    <row r="249" spans="2:30" x14ac:dyDescent="0.25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</row>
    <row r="250" spans="2:30" x14ac:dyDescent="0.25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</row>
    <row r="251" spans="2:30" x14ac:dyDescent="0.25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</row>
    <row r="252" spans="2:30" x14ac:dyDescent="0.25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</row>
    <row r="253" spans="2:30" x14ac:dyDescent="0.25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</row>
    <row r="254" spans="2:30" x14ac:dyDescent="0.25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</row>
    <row r="255" spans="2:30" x14ac:dyDescent="0.25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</row>
    <row r="256" spans="2:30" x14ac:dyDescent="0.25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</row>
    <row r="257" spans="2:30" x14ac:dyDescent="0.25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</row>
    <row r="258" spans="2:30" x14ac:dyDescent="0.25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</row>
    <row r="259" spans="2:30" x14ac:dyDescent="0.25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</row>
    <row r="260" spans="2:30" x14ac:dyDescent="0.25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</row>
    <row r="261" spans="2:30" x14ac:dyDescent="0.25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</row>
    <row r="262" spans="2:30" x14ac:dyDescent="0.25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</row>
    <row r="263" spans="2:30" x14ac:dyDescent="0.25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</row>
    <row r="264" spans="2:30" x14ac:dyDescent="0.25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</row>
    <row r="265" spans="2:30" x14ac:dyDescent="0.25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</row>
    <row r="266" spans="2:30" x14ac:dyDescent="0.25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</row>
    <row r="267" spans="2:30" x14ac:dyDescent="0.25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</row>
    <row r="268" spans="2:30" x14ac:dyDescent="0.25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</row>
    <row r="269" spans="2:30" x14ac:dyDescent="0.25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</row>
    <row r="270" spans="2:30" x14ac:dyDescent="0.25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</row>
    <row r="271" spans="2:30" x14ac:dyDescent="0.25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</row>
    <row r="272" spans="2:30" x14ac:dyDescent="0.25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</row>
    <row r="273" spans="2:30" x14ac:dyDescent="0.25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</row>
    <row r="274" spans="2:30" x14ac:dyDescent="0.25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</row>
    <row r="275" spans="2:30" x14ac:dyDescent="0.25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</row>
    <row r="276" spans="2:30" x14ac:dyDescent="0.25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</row>
    <row r="277" spans="2:30" x14ac:dyDescent="0.25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</row>
    <row r="278" spans="2:30" x14ac:dyDescent="0.25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</row>
    <row r="279" spans="2:30" x14ac:dyDescent="0.25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</row>
    <row r="280" spans="2:30" x14ac:dyDescent="0.25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</row>
    <row r="281" spans="2:30" x14ac:dyDescent="0.25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</row>
    <row r="282" spans="2:30" x14ac:dyDescent="0.25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</row>
    <row r="283" spans="2:30" x14ac:dyDescent="0.25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</row>
    <row r="284" spans="2:30" x14ac:dyDescent="0.25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</row>
    <row r="285" spans="2:30" x14ac:dyDescent="0.25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</row>
    <row r="286" spans="2:30" x14ac:dyDescent="0.25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</row>
    <row r="287" spans="2:30" x14ac:dyDescent="0.25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</row>
    <row r="288" spans="2:30" x14ac:dyDescent="0.25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</row>
    <row r="289" spans="2:30" x14ac:dyDescent="0.25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</row>
    <row r="290" spans="2:30" x14ac:dyDescent="0.25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</row>
    <row r="291" spans="2:30" x14ac:dyDescent="0.25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</row>
    <row r="292" spans="2:30" x14ac:dyDescent="0.25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</row>
    <row r="293" spans="2:30" x14ac:dyDescent="0.25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</row>
    <row r="294" spans="2:30" x14ac:dyDescent="0.25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</row>
    <row r="295" spans="2:30" x14ac:dyDescent="0.25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</row>
    <row r="296" spans="2:30" x14ac:dyDescent="0.25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</row>
    <row r="297" spans="2:30" x14ac:dyDescent="0.25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</row>
    <row r="298" spans="2:30" x14ac:dyDescent="0.25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</row>
    <row r="299" spans="2:30" x14ac:dyDescent="0.25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</row>
    <row r="300" spans="2:30" x14ac:dyDescent="0.25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</row>
    <row r="301" spans="2:30" x14ac:dyDescent="0.25"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</row>
    <row r="302" spans="2:30" x14ac:dyDescent="0.25"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</row>
    <row r="303" spans="2:30" x14ac:dyDescent="0.25"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</row>
    <row r="304" spans="2:30" x14ac:dyDescent="0.25"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</row>
    <row r="305" spans="2:30" x14ac:dyDescent="0.25"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</row>
    <row r="306" spans="2:30" x14ac:dyDescent="0.25"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</row>
    <row r="307" spans="2:30" x14ac:dyDescent="0.25"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</row>
    <row r="308" spans="2:30" x14ac:dyDescent="0.25"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</row>
    <row r="309" spans="2:30" x14ac:dyDescent="0.25"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</row>
    <row r="310" spans="2:30" x14ac:dyDescent="0.25"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</row>
    <row r="311" spans="2:30" x14ac:dyDescent="0.25"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</row>
    <row r="312" spans="2:30" x14ac:dyDescent="0.25"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</row>
    <row r="313" spans="2:30" x14ac:dyDescent="0.25"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</row>
    <row r="314" spans="2:30" x14ac:dyDescent="0.25"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</row>
    <row r="315" spans="2:30" x14ac:dyDescent="0.25"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</row>
    <row r="316" spans="2:30" x14ac:dyDescent="0.25"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</row>
    <row r="317" spans="2:30" x14ac:dyDescent="0.25"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</row>
    <row r="318" spans="2:30" x14ac:dyDescent="0.25"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</row>
    <row r="319" spans="2:30" x14ac:dyDescent="0.25"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</row>
    <row r="320" spans="2:30" x14ac:dyDescent="0.25"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</row>
    <row r="321" spans="2:30" x14ac:dyDescent="0.25"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</row>
    <row r="322" spans="2:30" x14ac:dyDescent="0.25"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</row>
    <row r="323" spans="2:30" x14ac:dyDescent="0.25"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</row>
    <row r="324" spans="2:30" x14ac:dyDescent="0.25"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</row>
    <row r="325" spans="2:30" x14ac:dyDescent="0.25"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</row>
    <row r="326" spans="2:30" x14ac:dyDescent="0.25"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</row>
    <row r="327" spans="2:30" x14ac:dyDescent="0.25"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</row>
    <row r="328" spans="2:30" x14ac:dyDescent="0.25"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</row>
    <row r="329" spans="2:30" x14ac:dyDescent="0.25"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</row>
    <row r="330" spans="2:30" x14ac:dyDescent="0.25"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</row>
    <row r="331" spans="2:30" x14ac:dyDescent="0.25"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</row>
    <row r="332" spans="2:30" x14ac:dyDescent="0.25"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</row>
    <row r="333" spans="2:30" x14ac:dyDescent="0.25"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</row>
    <row r="334" spans="2:30" x14ac:dyDescent="0.25"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</row>
    <row r="335" spans="2:30" x14ac:dyDescent="0.25"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</row>
    <row r="336" spans="2:30" x14ac:dyDescent="0.25"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</row>
    <row r="337" spans="2:30" x14ac:dyDescent="0.25"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</row>
    <row r="338" spans="2:30" x14ac:dyDescent="0.25"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</row>
    <row r="339" spans="2:30" x14ac:dyDescent="0.25"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</row>
    <row r="340" spans="2:30" x14ac:dyDescent="0.25"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</row>
    <row r="341" spans="2:30" x14ac:dyDescent="0.25"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</row>
    <row r="342" spans="2:30" x14ac:dyDescent="0.25"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</row>
    <row r="343" spans="2:30" x14ac:dyDescent="0.25"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</row>
    <row r="344" spans="2:30" x14ac:dyDescent="0.25"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</row>
    <row r="345" spans="2:30" x14ac:dyDescent="0.25"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</row>
    <row r="346" spans="2:30" x14ac:dyDescent="0.25"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</row>
    <row r="347" spans="2:30" x14ac:dyDescent="0.25"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</row>
    <row r="348" spans="2:30" x14ac:dyDescent="0.25"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</row>
    <row r="349" spans="2:30" x14ac:dyDescent="0.25"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</row>
    <row r="350" spans="2:30" x14ac:dyDescent="0.25"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</row>
    <row r="351" spans="2:30" x14ac:dyDescent="0.25"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</row>
    <row r="352" spans="2:30" x14ac:dyDescent="0.25"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</row>
    <row r="353" spans="2:30" x14ac:dyDescent="0.25"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</row>
    <row r="354" spans="2:30" x14ac:dyDescent="0.25"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</row>
    <row r="355" spans="2:30" x14ac:dyDescent="0.25"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</row>
    <row r="356" spans="2:30" x14ac:dyDescent="0.25"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</row>
    <row r="357" spans="2:30" x14ac:dyDescent="0.25"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</row>
    <row r="358" spans="2:30" x14ac:dyDescent="0.25"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</row>
    <row r="359" spans="2:30" x14ac:dyDescent="0.25"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</row>
    <row r="360" spans="2:30" x14ac:dyDescent="0.25"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</row>
    <row r="361" spans="2:30" x14ac:dyDescent="0.25"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</row>
    <row r="362" spans="2:30" x14ac:dyDescent="0.25"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</row>
    <row r="363" spans="2:30" x14ac:dyDescent="0.25"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</row>
    <row r="364" spans="2:30" x14ac:dyDescent="0.25"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</row>
    <row r="365" spans="2:30" x14ac:dyDescent="0.25"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</row>
    <row r="366" spans="2:30" x14ac:dyDescent="0.25"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</row>
    <row r="367" spans="2:30" x14ac:dyDescent="0.25"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</row>
    <row r="368" spans="2:30" x14ac:dyDescent="0.25"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</row>
    <row r="369" spans="2:30" x14ac:dyDescent="0.25"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</row>
    <row r="370" spans="2:30" x14ac:dyDescent="0.25"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</row>
    <row r="371" spans="2:30" x14ac:dyDescent="0.25"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</row>
    <row r="372" spans="2:30" x14ac:dyDescent="0.25"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</row>
    <row r="373" spans="2:30" x14ac:dyDescent="0.25"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</row>
    <row r="374" spans="2:30" x14ac:dyDescent="0.25"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</row>
    <row r="375" spans="2:30" x14ac:dyDescent="0.25"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</row>
    <row r="376" spans="2:30" x14ac:dyDescent="0.25"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</row>
    <row r="377" spans="2:30" x14ac:dyDescent="0.25"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</row>
    <row r="378" spans="2:30" x14ac:dyDescent="0.25"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</row>
    <row r="379" spans="2:30" x14ac:dyDescent="0.25"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</row>
    <row r="380" spans="2:30" x14ac:dyDescent="0.25"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</row>
    <row r="381" spans="2:30" x14ac:dyDescent="0.25"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</row>
    <row r="382" spans="2:30" x14ac:dyDescent="0.25"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</row>
    <row r="383" spans="2:30" x14ac:dyDescent="0.25"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</row>
    <row r="384" spans="2:30" x14ac:dyDescent="0.25"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</row>
    <row r="385" spans="2:30" x14ac:dyDescent="0.25"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</row>
    <row r="386" spans="2:30" x14ac:dyDescent="0.25"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</row>
    <row r="387" spans="2:30" x14ac:dyDescent="0.25"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</row>
    <row r="388" spans="2:30" x14ac:dyDescent="0.25"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</row>
    <row r="389" spans="2:30" x14ac:dyDescent="0.25"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</row>
    <row r="390" spans="2:30" x14ac:dyDescent="0.25"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</row>
    <row r="391" spans="2:30" x14ac:dyDescent="0.25"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</row>
    <row r="392" spans="2:30" x14ac:dyDescent="0.25"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</row>
    <row r="393" spans="2:30" x14ac:dyDescent="0.25"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</row>
    <row r="394" spans="2:30" x14ac:dyDescent="0.25"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</row>
    <row r="395" spans="2:30" x14ac:dyDescent="0.25"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</row>
    <row r="396" spans="2:30" x14ac:dyDescent="0.25"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</row>
    <row r="397" spans="2:30" x14ac:dyDescent="0.25"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</row>
    <row r="398" spans="2:30" x14ac:dyDescent="0.25"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</row>
    <row r="399" spans="2:30" x14ac:dyDescent="0.25"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</row>
    <row r="400" spans="2:30" x14ac:dyDescent="0.25"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</row>
    <row r="401" spans="2:30" x14ac:dyDescent="0.25"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</row>
    <row r="402" spans="2:30" x14ac:dyDescent="0.25"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</row>
    <row r="403" spans="2:30" x14ac:dyDescent="0.25"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</row>
    <row r="404" spans="2:30" x14ac:dyDescent="0.25"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</row>
    <row r="405" spans="2:30" x14ac:dyDescent="0.25"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</row>
    <row r="406" spans="2:30" x14ac:dyDescent="0.25"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</row>
    <row r="407" spans="2:30" x14ac:dyDescent="0.25"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</row>
    <row r="408" spans="2:30" x14ac:dyDescent="0.25"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</row>
    <row r="409" spans="2:30" x14ac:dyDescent="0.25"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</row>
    <row r="410" spans="2:30" x14ac:dyDescent="0.25"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</row>
    <row r="411" spans="2:30" x14ac:dyDescent="0.25"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</row>
    <row r="412" spans="2:30" x14ac:dyDescent="0.25"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</row>
    <row r="413" spans="2:30" x14ac:dyDescent="0.25"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</row>
    <row r="414" spans="2:30" x14ac:dyDescent="0.25"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</row>
    <row r="415" spans="2:30" x14ac:dyDescent="0.25"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</row>
    <row r="416" spans="2:30" x14ac:dyDescent="0.25"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</row>
    <row r="417" spans="2:30" x14ac:dyDescent="0.25"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</row>
    <row r="418" spans="2:30" x14ac:dyDescent="0.25"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</row>
    <row r="419" spans="2:30" x14ac:dyDescent="0.25"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</row>
    <row r="420" spans="2:30" x14ac:dyDescent="0.25"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</row>
    <row r="421" spans="2:30" x14ac:dyDescent="0.25"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</row>
    <row r="422" spans="2:30" x14ac:dyDescent="0.25"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</row>
    <row r="423" spans="2:30" x14ac:dyDescent="0.25"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</row>
    <row r="424" spans="2:30" x14ac:dyDescent="0.25"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</row>
    <row r="425" spans="2:30" x14ac:dyDescent="0.25"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</row>
    <row r="426" spans="2:30" x14ac:dyDescent="0.25"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</row>
    <row r="427" spans="2:30" x14ac:dyDescent="0.25"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</row>
    <row r="428" spans="2:30" x14ac:dyDescent="0.25"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</row>
    <row r="429" spans="2:30" x14ac:dyDescent="0.25"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</row>
    <row r="430" spans="2:30" x14ac:dyDescent="0.25"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</row>
    <row r="431" spans="2:30" x14ac:dyDescent="0.25"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</row>
    <row r="432" spans="2:30" x14ac:dyDescent="0.25"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</row>
    <row r="433" spans="2:30" x14ac:dyDescent="0.25"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</row>
    <row r="434" spans="2:30" x14ac:dyDescent="0.25"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</row>
    <row r="435" spans="2:30" x14ac:dyDescent="0.25"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</row>
    <row r="436" spans="2:30" x14ac:dyDescent="0.25"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</row>
    <row r="437" spans="2:30" x14ac:dyDescent="0.25"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</row>
    <row r="438" spans="2:30" x14ac:dyDescent="0.25"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</row>
    <row r="439" spans="2:30" x14ac:dyDescent="0.25"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</row>
    <row r="440" spans="2:30" x14ac:dyDescent="0.25"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</row>
    <row r="441" spans="2:30" x14ac:dyDescent="0.25"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</row>
    <row r="442" spans="2:30" x14ac:dyDescent="0.25"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</row>
    <row r="443" spans="2:30" x14ac:dyDescent="0.25"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</row>
    <row r="444" spans="2:30" x14ac:dyDescent="0.25"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</row>
    <row r="445" spans="2:30" x14ac:dyDescent="0.25"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</row>
    <row r="446" spans="2:30" x14ac:dyDescent="0.25"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</row>
    <row r="447" spans="2:30" x14ac:dyDescent="0.25"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</row>
    <row r="448" spans="2:30" x14ac:dyDescent="0.25"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</row>
    <row r="449" spans="2:30" x14ac:dyDescent="0.25"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</row>
    <row r="450" spans="2:30" x14ac:dyDescent="0.25"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</row>
    <row r="451" spans="2:30" x14ac:dyDescent="0.25"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</row>
    <row r="452" spans="2:30" x14ac:dyDescent="0.25"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</row>
    <row r="453" spans="2:30" x14ac:dyDescent="0.25"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</row>
    <row r="454" spans="2:30" x14ac:dyDescent="0.25"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</row>
    <row r="455" spans="2:30" x14ac:dyDescent="0.25"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</row>
    <row r="456" spans="2:30" x14ac:dyDescent="0.25"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</row>
    <row r="457" spans="2:30" x14ac:dyDescent="0.25"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</row>
    <row r="458" spans="2:30" x14ac:dyDescent="0.25"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</row>
    <row r="459" spans="2:30" x14ac:dyDescent="0.25"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</row>
    <row r="460" spans="2:30" x14ac:dyDescent="0.25"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</row>
    <row r="461" spans="2:30" x14ac:dyDescent="0.25"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</row>
    <row r="462" spans="2:30" x14ac:dyDescent="0.25"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</row>
    <row r="463" spans="2:30" x14ac:dyDescent="0.25"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</row>
    <row r="464" spans="2:30" x14ac:dyDescent="0.25"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</row>
    <row r="465" spans="2:30" x14ac:dyDescent="0.25"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</row>
    <row r="466" spans="2:30" x14ac:dyDescent="0.25"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</row>
    <row r="467" spans="2:30" x14ac:dyDescent="0.25"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</row>
    <row r="468" spans="2:30" x14ac:dyDescent="0.25"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</row>
    <row r="469" spans="2:30" x14ac:dyDescent="0.25"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</row>
    <row r="470" spans="2:30" x14ac:dyDescent="0.25"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</row>
    <row r="471" spans="2:30" x14ac:dyDescent="0.25"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</row>
    <row r="472" spans="2:30" x14ac:dyDescent="0.25"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</row>
    <row r="473" spans="2:30" x14ac:dyDescent="0.25"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</row>
    <row r="474" spans="2:30" x14ac:dyDescent="0.25"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</row>
    <row r="475" spans="2:30" x14ac:dyDescent="0.25"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</row>
    <row r="476" spans="2:30" x14ac:dyDescent="0.25"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</row>
    <row r="477" spans="2:30" x14ac:dyDescent="0.25"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</row>
    <row r="478" spans="2:30" x14ac:dyDescent="0.25"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</row>
    <row r="479" spans="2:30" x14ac:dyDescent="0.25"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</row>
    <row r="480" spans="2:30" x14ac:dyDescent="0.25"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</row>
    <row r="481" spans="2:30" x14ac:dyDescent="0.25"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</row>
    <row r="482" spans="2:30" x14ac:dyDescent="0.25"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</row>
    <row r="483" spans="2:30" x14ac:dyDescent="0.25"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</row>
    <row r="484" spans="2:30" x14ac:dyDescent="0.25"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</row>
    <row r="485" spans="2:30" x14ac:dyDescent="0.25"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</row>
    <row r="486" spans="2:30" x14ac:dyDescent="0.25"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</row>
    <row r="487" spans="2:30" x14ac:dyDescent="0.25"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</row>
    <row r="488" spans="2:30" x14ac:dyDescent="0.25"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</row>
    <row r="489" spans="2:30" x14ac:dyDescent="0.25"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</row>
    <row r="490" spans="2:30" x14ac:dyDescent="0.25"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</row>
    <row r="491" spans="2:30" x14ac:dyDescent="0.25"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</row>
    <row r="492" spans="2:30" x14ac:dyDescent="0.25"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</row>
    <row r="493" spans="2:30" x14ac:dyDescent="0.25"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</row>
    <row r="494" spans="2:30" x14ac:dyDescent="0.25"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</row>
    <row r="495" spans="2:30" x14ac:dyDescent="0.25"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</row>
    <row r="496" spans="2:30" x14ac:dyDescent="0.25"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</row>
    <row r="497" spans="2:30" x14ac:dyDescent="0.25"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</row>
    <row r="498" spans="2:30" x14ac:dyDescent="0.25"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</row>
    <row r="499" spans="2:30" x14ac:dyDescent="0.25"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</row>
    <row r="500" spans="2:30" x14ac:dyDescent="0.25"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</row>
    <row r="501" spans="2:30" x14ac:dyDescent="0.25"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</row>
    <row r="502" spans="2:30" x14ac:dyDescent="0.25"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</row>
    <row r="503" spans="2:30" x14ac:dyDescent="0.25"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</row>
    <row r="504" spans="2:30" x14ac:dyDescent="0.25"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</row>
    <row r="505" spans="2:30" x14ac:dyDescent="0.25"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</row>
    <row r="506" spans="2:30" x14ac:dyDescent="0.25"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</row>
    <row r="507" spans="2:30" x14ac:dyDescent="0.25"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</row>
    <row r="508" spans="2:30" x14ac:dyDescent="0.25"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</row>
    <row r="509" spans="2:30" x14ac:dyDescent="0.25"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</row>
    <row r="510" spans="2:30" x14ac:dyDescent="0.25"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</row>
    <row r="511" spans="2:30" x14ac:dyDescent="0.25"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</row>
    <row r="512" spans="2:30" x14ac:dyDescent="0.25"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</row>
    <row r="513" spans="2:30" x14ac:dyDescent="0.25"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</row>
    <row r="514" spans="2:30" x14ac:dyDescent="0.25"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</row>
    <row r="515" spans="2:30" x14ac:dyDescent="0.25"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</row>
    <row r="516" spans="2:30" x14ac:dyDescent="0.25"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</row>
  </sheetData>
  <mergeCells count="68">
    <mergeCell ref="Z69:AA69"/>
    <mergeCell ref="AB69:AC69"/>
    <mergeCell ref="L69:M69"/>
    <mergeCell ref="N69:O69"/>
    <mergeCell ref="P69:Q69"/>
    <mergeCell ref="R69:S69"/>
    <mergeCell ref="T69:U69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50:AC50"/>
    <mergeCell ref="Z50:AA50"/>
    <mergeCell ref="B50:C50"/>
    <mergeCell ref="D50:E50"/>
    <mergeCell ref="F50:G50"/>
    <mergeCell ref="H50:I50"/>
    <mergeCell ref="J50:K50"/>
    <mergeCell ref="B88:C88"/>
    <mergeCell ref="D88:E88"/>
    <mergeCell ref="F88:G88"/>
    <mergeCell ref="H88:I88"/>
    <mergeCell ref="J88:K88"/>
    <mergeCell ref="B69:C69"/>
    <mergeCell ref="D69:E69"/>
    <mergeCell ref="F69:G69"/>
    <mergeCell ref="H69:I69"/>
    <mergeCell ref="J69:K69"/>
    <mergeCell ref="R88:S88"/>
    <mergeCell ref="T88:U88"/>
    <mergeCell ref="V88:W88"/>
    <mergeCell ref="X88:Y88"/>
    <mergeCell ref="L50:M50"/>
    <mergeCell ref="N50:O50"/>
    <mergeCell ref="L88:M88"/>
    <mergeCell ref="N88:O88"/>
    <mergeCell ref="P50:Q50"/>
    <mergeCell ref="R50:S50"/>
    <mergeCell ref="T50:U50"/>
    <mergeCell ref="V50:W50"/>
    <mergeCell ref="X50:Y50"/>
    <mergeCell ref="V69:W69"/>
    <mergeCell ref="X69:Y69"/>
    <mergeCell ref="AB95:AC95"/>
    <mergeCell ref="Z88:AA88"/>
    <mergeCell ref="B95:C95"/>
    <mergeCell ref="D95:E95"/>
    <mergeCell ref="F95:G95"/>
    <mergeCell ref="H95:I95"/>
    <mergeCell ref="J95:K95"/>
    <mergeCell ref="L95:M95"/>
    <mergeCell ref="N95:O95"/>
    <mergeCell ref="P95:Q95"/>
    <mergeCell ref="R95:S95"/>
    <mergeCell ref="T95:U95"/>
    <mergeCell ref="V95:W95"/>
    <mergeCell ref="X95:Y95"/>
    <mergeCell ref="Z95:AA95"/>
    <mergeCell ref="P88:Q88"/>
  </mergeCells>
  <conditionalFormatting sqref="C47 E47 G47 I47 K47 M47 O47 Q47 S47 U47 W47 Y47 AA47">
    <cfRule type="cellIs" dxfId="1" priority="14" operator="notEqual">
      <formula>0</formula>
    </cfRule>
  </conditionalFormatting>
  <conditionalFormatting sqref="E47">
    <cfRule type="cellIs" dxfId="0" priority="13" operator="equal">
      <formula>NOT(0)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Costo Personal</vt:lpstr>
      <vt:lpstr>Estimacion Costos</vt:lpstr>
      <vt:lpstr>Proyección del Costo Total</vt:lpstr>
      <vt:lpstr>Valuacion</vt:lpstr>
    </vt:vector>
  </TitlesOfParts>
  <Company>Cimat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Israel Perez Garcia</cp:lastModifiedBy>
  <cp:lastPrinted>2012-06-28T04:21:13Z</cp:lastPrinted>
  <dcterms:created xsi:type="dcterms:W3CDTF">2012-06-05T21:06:48Z</dcterms:created>
  <dcterms:modified xsi:type="dcterms:W3CDTF">2016-05-06T00:31:05Z</dcterms:modified>
</cp:coreProperties>
</file>